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dragunaite\Downloads\"/>
    </mc:Choice>
  </mc:AlternateContent>
  <xr:revisionPtr revIDLastSave="0" documentId="13_ncr:1_{2334B677-230F-488A-AB2A-AE5C8A659A0D}" xr6:coauthVersionLast="36" xr6:coauthVersionMax="47" xr10:uidLastSave="{00000000-0000-0000-0000-000000000000}"/>
  <bookViews>
    <workbookView showHorizontalScroll="0" showVerticalScroll="0" xWindow="0" yWindow="0" windowWidth="17256" windowHeight="4464" activeTab="1" xr2:uid="{00000000-000D-0000-FFFF-FFFF00000000}"/>
  </bookViews>
  <sheets>
    <sheet name="Lentelė" sheetId="1" r:id="rId1"/>
    <sheet name="Protokolas" sheetId="2" r:id="rId2"/>
    <sheet name="Žaidimo schema" sheetId="3" r:id="rId3"/>
    <sheet name="ADMIN_Duomenys" sheetId="4" state="hidden" r:id="rId4"/>
  </sheets>
  <definedNames>
    <definedName name="_xlnm._FilterDatabase" localSheetId="3" hidden="1">ADMIN_Duomenys!$A$4:$G$604</definedName>
    <definedName name="Etapas">Protokolas!$C$5</definedName>
    <definedName name="Komandos_A">OFFSET(ADMIN_Duomenys!$W$5,0,0,MAX(1,COUNTIF(ADMIN_Duomenys!$W$5:$W$44,"?*")),1)</definedName>
    <definedName name="Komandos_Aktyvios">OFFSET(ADMIN_Duomenys!$AE$5,0,0,MAX(1,COUNTIF(ADMIN_Duomenys!$AE$5:$AE$44,"?*")),1)</definedName>
    <definedName name="Komandos_B">OFFSET(ADMIN_Duomenys!$Y$5,0,0,MAX(1,COUNTIF(ADMIN_Duomenys!$Y$5:$Y$44,"?*")),1)</definedName>
    <definedName name="Komandos_C">OFFSET(ADMIN_Duomenys!$AA$5,0,0,MAX(1,COUNTIF(ADMIN_Duomenys!$AA$5:$AA$44,"?*")),1)</definedName>
    <definedName name="List_BoulingoCentrai">OFFSET(ADMIN_Duomenys!$AC$5,0,0,MAX(1,COUNTIF(ADMIN_Duomenys!$AC$5:$AC$44,"?*")),1)</definedName>
    <definedName name="List_Etapai">OFFSET(ADMIN_Duomenys!$U$5,0,0,MAX(1,COUNTIF(ADMIN_Duomenys!$U$5:$U$44,"?*")),1)</definedName>
    <definedName name="List_Pogrupiai">OFFSET(ADMIN_Duomenys!$AN$5,0,0,MAX(1,COUNTIF(ADMIN_Duomenys!$AN$5:$AN$6,"?*")),1)</definedName>
    <definedName name="List1">ADMIN_Duomenys!$AG$5:$AG$6</definedName>
    <definedName name="List2">ADMIN_Duomenys!$AH$5:$AH$6</definedName>
    <definedName name="List3">ADMIN_Duomenys!$AI$5:$AI$6</definedName>
    <definedName name="List4">ADMIN_Duomenys!$AJ$5:$AJ$6</definedName>
    <definedName name="Lyga">Protokolas!$A$1</definedName>
    <definedName name="PogrupioReikia">Protokolas!$M$1</definedName>
    <definedName name="Pogrupis">Protokolas!$M$2</definedName>
    <definedName name="_xlnm.Print_Area" localSheetId="3">ADMIN_Duomenys!$A$1:$L$604</definedName>
    <definedName name="_xlnm.Print_Area" localSheetId="0">Lentelė!$A$1:$O$93</definedName>
    <definedName name="_xlnm.Print_Area" localSheetId="1">Protokolas!$A$1:$G$55</definedName>
    <definedName name="_xlnm.Print_Area" localSheetId="2">'Žaidimo schema'!$A$1:$J$34</definedName>
    <definedName name="ProtokolasUzpildytas">Protokolas!$M$3</definedName>
    <definedName name="Sezonas">ADMIN_Duomenys!$B$2</definedName>
    <definedName name="Zaidejai_Hcp">ADMIN_Duomenys!$E$5:$E$604</definedName>
    <definedName name="Zaidejai_Raktas">ADMIN_Duomenys!$J$5:$J$604</definedName>
    <definedName name="Zaidejai_Vardas">ADMIN_Duomenys!$I$5:$I$604</definedName>
  </definedNames>
  <calcPr calcId="191029"/>
</workbook>
</file>

<file path=xl/calcChain.xml><?xml version="1.0" encoding="utf-8"?>
<calcChain xmlns="http://schemas.openxmlformats.org/spreadsheetml/2006/main">
  <c r="AL604" i="4" l="1"/>
  <c r="N604" i="4"/>
  <c r="K604" i="4"/>
  <c r="I604" i="4"/>
  <c r="AL603" i="4"/>
  <c r="N603" i="4"/>
  <c r="K603" i="4"/>
  <c r="I603" i="4"/>
  <c r="H603" i="4" s="1"/>
  <c r="J603" i="4" s="1"/>
  <c r="AL602" i="4"/>
  <c r="N602" i="4"/>
  <c r="K602" i="4"/>
  <c r="I602" i="4"/>
  <c r="H602" i="4" s="1"/>
  <c r="J602" i="4" s="1"/>
  <c r="AL601" i="4"/>
  <c r="N601" i="4"/>
  <c r="K601" i="4"/>
  <c r="I601" i="4"/>
  <c r="L601" i="4" s="1"/>
  <c r="AL600" i="4"/>
  <c r="N600" i="4"/>
  <c r="K600" i="4"/>
  <c r="I600" i="4"/>
  <c r="AL599" i="4"/>
  <c r="N599" i="4"/>
  <c r="O599" i="4" s="1"/>
  <c r="K599" i="4"/>
  <c r="I599" i="4"/>
  <c r="L599" i="4" s="1"/>
  <c r="AL598" i="4"/>
  <c r="N598" i="4"/>
  <c r="O598" i="4" s="1"/>
  <c r="K598" i="4"/>
  <c r="I598" i="4"/>
  <c r="L598" i="4" s="1"/>
  <c r="AL597" i="4"/>
  <c r="N597" i="4"/>
  <c r="O597" i="4" s="1"/>
  <c r="K597" i="4"/>
  <c r="I597" i="4"/>
  <c r="L597" i="4" s="1"/>
  <c r="AL596" i="4"/>
  <c r="N596" i="4"/>
  <c r="K596" i="4"/>
  <c r="I596" i="4"/>
  <c r="H596" i="4" s="1"/>
  <c r="J596" i="4" s="1"/>
  <c r="AL595" i="4"/>
  <c r="N595" i="4"/>
  <c r="K595" i="4"/>
  <c r="I595" i="4"/>
  <c r="H595" i="4" s="1"/>
  <c r="J595" i="4" s="1"/>
  <c r="AL594" i="4"/>
  <c r="N594" i="4"/>
  <c r="K594" i="4"/>
  <c r="I594" i="4"/>
  <c r="L594" i="4" s="1"/>
  <c r="AL593" i="4"/>
  <c r="N593" i="4"/>
  <c r="K593" i="4"/>
  <c r="I593" i="4"/>
  <c r="H593" i="4" s="1"/>
  <c r="J593" i="4" s="1"/>
  <c r="AL592" i="4"/>
  <c r="N592" i="4"/>
  <c r="K592" i="4"/>
  <c r="I592" i="4"/>
  <c r="L592" i="4" s="1"/>
  <c r="AL591" i="4"/>
  <c r="N591" i="4"/>
  <c r="O591" i="4" s="1"/>
  <c r="K591" i="4"/>
  <c r="I591" i="4"/>
  <c r="AL590" i="4"/>
  <c r="N590" i="4"/>
  <c r="O590" i="4" s="1"/>
  <c r="K590" i="4"/>
  <c r="I590" i="4"/>
  <c r="AL589" i="4"/>
  <c r="N589" i="4"/>
  <c r="O589" i="4" s="1"/>
  <c r="K589" i="4"/>
  <c r="I589" i="4"/>
  <c r="L589" i="4" s="1"/>
  <c r="AL588" i="4"/>
  <c r="N588" i="4"/>
  <c r="K588" i="4"/>
  <c r="I588" i="4"/>
  <c r="H588" i="4" s="1"/>
  <c r="J588" i="4" s="1"/>
  <c r="AL587" i="4"/>
  <c r="N587" i="4"/>
  <c r="K587" i="4"/>
  <c r="I587" i="4"/>
  <c r="H587" i="4" s="1"/>
  <c r="J587" i="4" s="1"/>
  <c r="AL586" i="4"/>
  <c r="N586" i="4"/>
  <c r="K586" i="4"/>
  <c r="I586" i="4"/>
  <c r="L586" i="4" s="1"/>
  <c r="AL585" i="4"/>
  <c r="N585" i="4"/>
  <c r="K585" i="4"/>
  <c r="I585" i="4"/>
  <c r="AL584" i="4"/>
  <c r="N584" i="4"/>
  <c r="K584" i="4"/>
  <c r="I584" i="4"/>
  <c r="L584" i="4" s="1"/>
  <c r="AL583" i="4"/>
  <c r="N583" i="4"/>
  <c r="O583" i="4" s="1"/>
  <c r="K583" i="4"/>
  <c r="I583" i="4"/>
  <c r="AL582" i="4"/>
  <c r="N582" i="4"/>
  <c r="O582" i="4" s="1"/>
  <c r="K582" i="4"/>
  <c r="I582" i="4"/>
  <c r="AL581" i="4"/>
  <c r="N581" i="4"/>
  <c r="O581" i="4" s="1"/>
  <c r="K581" i="4"/>
  <c r="I581" i="4"/>
  <c r="L581" i="4" s="1"/>
  <c r="AL580" i="4"/>
  <c r="N580" i="4"/>
  <c r="K580" i="4"/>
  <c r="I580" i="4"/>
  <c r="H580" i="4" s="1"/>
  <c r="J580" i="4" s="1"/>
  <c r="AL579" i="4"/>
  <c r="N579" i="4"/>
  <c r="K579" i="4"/>
  <c r="I579" i="4"/>
  <c r="H579" i="4" s="1"/>
  <c r="J579" i="4" s="1"/>
  <c r="AL578" i="4"/>
  <c r="N578" i="4"/>
  <c r="K578" i="4"/>
  <c r="I578" i="4"/>
  <c r="L578" i="4" s="1"/>
  <c r="AL577" i="4"/>
  <c r="N577" i="4"/>
  <c r="K577" i="4"/>
  <c r="I577" i="4"/>
  <c r="L577" i="4" s="1"/>
  <c r="AL576" i="4"/>
  <c r="N576" i="4"/>
  <c r="K576" i="4"/>
  <c r="I576" i="4"/>
  <c r="AL575" i="4"/>
  <c r="N575" i="4"/>
  <c r="O575" i="4" s="1"/>
  <c r="K575" i="4"/>
  <c r="I575" i="4"/>
  <c r="AL574" i="4"/>
  <c r="N574" i="4"/>
  <c r="O574" i="4" s="1"/>
  <c r="K574" i="4"/>
  <c r="I574" i="4"/>
  <c r="AL573" i="4"/>
  <c r="N573" i="4"/>
  <c r="O573" i="4" s="1"/>
  <c r="K573" i="4"/>
  <c r="I573" i="4"/>
  <c r="L573" i="4" s="1"/>
  <c r="AL572" i="4"/>
  <c r="N572" i="4"/>
  <c r="K572" i="4"/>
  <c r="I572" i="4"/>
  <c r="AL571" i="4"/>
  <c r="N571" i="4"/>
  <c r="O571" i="4" s="1"/>
  <c r="K571" i="4"/>
  <c r="I571" i="4"/>
  <c r="AL570" i="4"/>
  <c r="N570" i="4"/>
  <c r="O570" i="4" s="1"/>
  <c r="K570" i="4"/>
  <c r="I570" i="4"/>
  <c r="L570" i="4" s="1"/>
  <c r="AL569" i="4"/>
  <c r="N569" i="4"/>
  <c r="K569" i="4"/>
  <c r="I569" i="4"/>
  <c r="L569" i="4" s="1"/>
  <c r="AL568" i="4"/>
  <c r="N568" i="4"/>
  <c r="O568" i="4" s="1"/>
  <c r="K568" i="4"/>
  <c r="I568" i="4"/>
  <c r="L568" i="4" s="1"/>
  <c r="AL567" i="4"/>
  <c r="N567" i="4"/>
  <c r="O567" i="4" s="1"/>
  <c r="K567" i="4"/>
  <c r="I567" i="4"/>
  <c r="AL566" i="4"/>
  <c r="N566" i="4"/>
  <c r="O566" i="4" s="1"/>
  <c r="K566" i="4"/>
  <c r="I566" i="4"/>
  <c r="L566" i="4" s="1"/>
  <c r="AL565" i="4"/>
  <c r="N565" i="4"/>
  <c r="O565" i="4" s="1"/>
  <c r="K565" i="4"/>
  <c r="I565" i="4"/>
  <c r="L565" i="4" s="1"/>
  <c r="AL564" i="4"/>
  <c r="N564" i="4"/>
  <c r="K564" i="4"/>
  <c r="I564" i="4"/>
  <c r="H564" i="4" s="1"/>
  <c r="J564" i="4" s="1"/>
  <c r="AL563" i="4"/>
  <c r="N563" i="4"/>
  <c r="K563" i="4"/>
  <c r="I563" i="4"/>
  <c r="AL562" i="4"/>
  <c r="N562" i="4"/>
  <c r="K562" i="4"/>
  <c r="I562" i="4"/>
  <c r="L562" i="4" s="1"/>
  <c r="AL561" i="4"/>
  <c r="N561" i="4"/>
  <c r="K561" i="4"/>
  <c r="I561" i="4"/>
  <c r="L561" i="4" s="1"/>
  <c r="AL560" i="4"/>
  <c r="N560" i="4"/>
  <c r="K560" i="4"/>
  <c r="I560" i="4"/>
  <c r="AL559" i="4"/>
  <c r="N559" i="4"/>
  <c r="O559" i="4" s="1"/>
  <c r="K559" i="4"/>
  <c r="I559" i="4"/>
  <c r="AL558" i="4"/>
  <c r="N558" i="4"/>
  <c r="O558" i="4" s="1"/>
  <c r="K558" i="4"/>
  <c r="I558" i="4"/>
  <c r="AL557" i="4"/>
  <c r="N557" i="4"/>
  <c r="K557" i="4"/>
  <c r="I557" i="4"/>
  <c r="AL556" i="4"/>
  <c r="N556" i="4"/>
  <c r="K556" i="4"/>
  <c r="I556" i="4"/>
  <c r="AL555" i="4"/>
  <c r="N555" i="4"/>
  <c r="O555" i="4" s="1"/>
  <c r="K555" i="4"/>
  <c r="I555" i="4"/>
  <c r="H555" i="4" s="1"/>
  <c r="J555" i="4" s="1"/>
  <c r="AL554" i="4"/>
  <c r="N554" i="4"/>
  <c r="O554" i="4" s="1"/>
  <c r="K554" i="4"/>
  <c r="I554" i="4"/>
  <c r="L554" i="4" s="1"/>
  <c r="AL553" i="4"/>
  <c r="N553" i="4"/>
  <c r="O553" i="4" s="1"/>
  <c r="K553" i="4"/>
  <c r="I553" i="4"/>
  <c r="L553" i="4" s="1"/>
  <c r="AL552" i="4"/>
  <c r="N552" i="4"/>
  <c r="O552" i="4" s="1"/>
  <c r="K552" i="4"/>
  <c r="I552" i="4"/>
  <c r="L552" i="4" s="1"/>
  <c r="AL551" i="4"/>
  <c r="N551" i="4"/>
  <c r="O551" i="4" s="1"/>
  <c r="K551" i="4"/>
  <c r="I551" i="4"/>
  <c r="L551" i="4" s="1"/>
  <c r="AL550" i="4"/>
  <c r="N550" i="4"/>
  <c r="O550" i="4" s="1"/>
  <c r="K550" i="4"/>
  <c r="I550" i="4"/>
  <c r="L550" i="4" s="1"/>
  <c r="AL549" i="4"/>
  <c r="N549" i="4"/>
  <c r="K549" i="4"/>
  <c r="I549" i="4"/>
  <c r="AL548" i="4"/>
  <c r="N548" i="4"/>
  <c r="K548" i="4"/>
  <c r="I548" i="4"/>
  <c r="H548" i="4" s="1"/>
  <c r="J548" i="4" s="1"/>
  <c r="AL547" i="4"/>
  <c r="N547" i="4"/>
  <c r="K547" i="4"/>
  <c r="I547" i="4"/>
  <c r="H547" i="4" s="1"/>
  <c r="J547" i="4" s="1"/>
  <c r="AL546" i="4"/>
  <c r="N546" i="4"/>
  <c r="O546" i="4" s="1"/>
  <c r="K546" i="4"/>
  <c r="I546" i="4"/>
  <c r="H546" i="4" s="1"/>
  <c r="J546" i="4" s="1"/>
  <c r="AL545" i="4"/>
  <c r="N545" i="4"/>
  <c r="O545" i="4" s="1"/>
  <c r="K545" i="4"/>
  <c r="I545" i="4"/>
  <c r="L545" i="4" s="1"/>
  <c r="AL544" i="4"/>
  <c r="N544" i="4"/>
  <c r="O544" i="4" s="1"/>
  <c r="K544" i="4"/>
  <c r="I544" i="4"/>
  <c r="AL543" i="4"/>
  <c r="N543" i="4"/>
  <c r="O543" i="4" s="1"/>
  <c r="K543" i="4"/>
  <c r="I543" i="4"/>
  <c r="L543" i="4" s="1"/>
  <c r="AL542" i="4"/>
  <c r="N542" i="4"/>
  <c r="O542" i="4" s="1"/>
  <c r="K542" i="4"/>
  <c r="I542" i="4"/>
  <c r="AL541" i="4"/>
  <c r="N541" i="4"/>
  <c r="K541" i="4"/>
  <c r="I541" i="4"/>
  <c r="H541" i="4" s="1"/>
  <c r="J541" i="4" s="1"/>
  <c r="AL540" i="4"/>
  <c r="N540" i="4"/>
  <c r="K540" i="4"/>
  <c r="I540" i="4"/>
  <c r="H540" i="4" s="1"/>
  <c r="J540" i="4" s="1"/>
  <c r="AL539" i="4"/>
  <c r="N539" i="4"/>
  <c r="K539" i="4"/>
  <c r="I539" i="4"/>
  <c r="H539" i="4" s="1"/>
  <c r="J539" i="4" s="1"/>
  <c r="AL538" i="4"/>
  <c r="N538" i="4"/>
  <c r="O538" i="4" s="1"/>
  <c r="K538" i="4"/>
  <c r="I538" i="4"/>
  <c r="L538" i="4" s="1"/>
  <c r="AL537" i="4"/>
  <c r="N537" i="4"/>
  <c r="K537" i="4"/>
  <c r="I537" i="4"/>
  <c r="L537" i="4" s="1"/>
  <c r="AL536" i="4"/>
  <c r="N536" i="4"/>
  <c r="O536" i="4" s="1"/>
  <c r="K536" i="4"/>
  <c r="I536" i="4"/>
  <c r="L536" i="4" s="1"/>
  <c r="AL535" i="4"/>
  <c r="N535" i="4"/>
  <c r="O535" i="4" s="1"/>
  <c r="K535" i="4"/>
  <c r="I535" i="4"/>
  <c r="L535" i="4" s="1"/>
  <c r="AL534" i="4"/>
  <c r="N534" i="4"/>
  <c r="O534" i="4" s="1"/>
  <c r="K534" i="4"/>
  <c r="I534" i="4"/>
  <c r="L534" i="4" s="1"/>
  <c r="AL533" i="4"/>
  <c r="N533" i="4"/>
  <c r="K533" i="4"/>
  <c r="I533" i="4"/>
  <c r="H533" i="4" s="1"/>
  <c r="J533" i="4" s="1"/>
  <c r="AL532" i="4"/>
  <c r="N532" i="4"/>
  <c r="K532" i="4"/>
  <c r="I532" i="4"/>
  <c r="AL531" i="4"/>
  <c r="N531" i="4"/>
  <c r="K531" i="4"/>
  <c r="I531" i="4"/>
  <c r="H531" i="4" s="1"/>
  <c r="J531" i="4" s="1"/>
  <c r="AL530" i="4"/>
  <c r="N530" i="4"/>
  <c r="O530" i="4" s="1"/>
  <c r="K530" i="4"/>
  <c r="I530" i="4"/>
  <c r="L530" i="4" s="1"/>
  <c r="AL529" i="4"/>
  <c r="N529" i="4"/>
  <c r="O529" i="4" s="1"/>
  <c r="K529" i="4"/>
  <c r="I529" i="4"/>
  <c r="AL528" i="4"/>
  <c r="N528" i="4"/>
  <c r="O528" i="4" s="1"/>
  <c r="K528" i="4"/>
  <c r="I528" i="4"/>
  <c r="L528" i="4" s="1"/>
  <c r="AL527" i="4"/>
  <c r="N527" i="4"/>
  <c r="O527" i="4" s="1"/>
  <c r="K527" i="4"/>
  <c r="I527" i="4"/>
  <c r="L527" i="4" s="1"/>
  <c r="AL526" i="4"/>
  <c r="N526" i="4"/>
  <c r="O526" i="4" s="1"/>
  <c r="K526" i="4"/>
  <c r="I526" i="4"/>
  <c r="L526" i="4" s="1"/>
  <c r="AL525" i="4"/>
  <c r="N525" i="4"/>
  <c r="K525" i="4"/>
  <c r="I525" i="4"/>
  <c r="AL524" i="4"/>
  <c r="N524" i="4"/>
  <c r="K524" i="4"/>
  <c r="I524" i="4"/>
  <c r="H524" i="4" s="1"/>
  <c r="J524" i="4" s="1"/>
  <c r="AL523" i="4"/>
  <c r="N523" i="4"/>
  <c r="K523" i="4"/>
  <c r="I523" i="4"/>
  <c r="H523" i="4" s="1"/>
  <c r="J523" i="4" s="1"/>
  <c r="AL522" i="4"/>
  <c r="N522" i="4"/>
  <c r="K522" i="4"/>
  <c r="I522" i="4"/>
  <c r="AL521" i="4"/>
  <c r="N521" i="4"/>
  <c r="K521" i="4"/>
  <c r="I521" i="4"/>
  <c r="L521" i="4" s="1"/>
  <c r="AL520" i="4"/>
  <c r="N520" i="4"/>
  <c r="K520" i="4"/>
  <c r="I520" i="4"/>
  <c r="AL519" i="4"/>
  <c r="N519" i="4"/>
  <c r="O519" i="4" s="1"/>
  <c r="K519" i="4"/>
  <c r="I519" i="4"/>
  <c r="AL518" i="4"/>
  <c r="N518" i="4"/>
  <c r="O518" i="4" s="1"/>
  <c r="K518" i="4"/>
  <c r="I518" i="4"/>
  <c r="AL517" i="4"/>
  <c r="N517" i="4"/>
  <c r="K517" i="4"/>
  <c r="I517" i="4"/>
  <c r="L517" i="4" s="1"/>
  <c r="AL516" i="4"/>
  <c r="N516" i="4"/>
  <c r="K516" i="4"/>
  <c r="I516" i="4"/>
  <c r="H516" i="4" s="1"/>
  <c r="J516" i="4" s="1"/>
  <c r="AL515" i="4"/>
  <c r="N515" i="4"/>
  <c r="O515" i="4" s="1"/>
  <c r="K515" i="4"/>
  <c r="I515" i="4"/>
  <c r="H515" i="4" s="1"/>
  <c r="J515" i="4" s="1"/>
  <c r="AL514" i="4"/>
  <c r="N514" i="4"/>
  <c r="K514" i="4"/>
  <c r="I514" i="4"/>
  <c r="H514" i="4" s="1"/>
  <c r="J514" i="4" s="1"/>
  <c r="AL513" i="4"/>
  <c r="N513" i="4"/>
  <c r="K513" i="4"/>
  <c r="I513" i="4"/>
  <c r="L513" i="4" s="1"/>
  <c r="AL512" i="4"/>
  <c r="N512" i="4"/>
  <c r="K512" i="4"/>
  <c r="I512" i="4"/>
  <c r="L512" i="4" s="1"/>
  <c r="AL511" i="4"/>
  <c r="N511" i="4"/>
  <c r="K511" i="4"/>
  <c r="I511" i="4"/>
  <c r="L511" i="4" s="1"/>
  <c r="AL510" i="4"/>
  <c r="N510" i="4"/>
  <c r="O510" i="4" s="1"/>
  <c r="K510" i="4"/>
  <c r="I510" i="4"/>
  <c r="L510" i="4" s="1"/>
  <c r="AL509" i="4"/>
  <c r="N509" i="4"/>
  <c r="K509" i="4"/>
  <c r="I509" i="4"/>
  <c r="L509" i="4" s="1"/>
  <c r="AL508" i="4"/>
  <c r="N508" i="4"/>
  <c r="K508" i="4"/>
  <c r="I508" i="4"/>
  <c r="L508" i="4" s="1"/>
  <c r="AL507" i="4"/>
  <c r="N507" i="4"/>
  <c r="O507" i="4" s="1"/>
  <c r="K507" i="4"/>
  <c r="I507" i="4"/>
  <c r="H507" i="4" s="1"/>
  <c r="J507" i="4" s="1"/>
  <c r="AL506" i="4"/>
  <c r="N506" i="4"/>
  <c r="O506" i="4" s="1"/>
  <c r="K506" i="4"/>
  <c r="I506" i="4"/>
  <c r="AL505" i="4"/>
  <c r="N505" i="4"/>
  <c r="O505" i="4" s="1"/>
  <c r="K505" i="4"/>
  <c r="I505" i="4"/>
  <c r="L505" i="4" s="1"/>
  <c r="AL504" i="4"/>
  <c r="N504" i="4"/>
  <c r="K504" i="4"/>
  <c r="I504" i="4"/>
  <c r="AL503" i="4"/>
  <c r="N503" i="4"/>
  <c r="O503" i="4" s="1"/>
  <c r="K503" i="4"/>
  <c r="I503" i="4"/>
  <c r="AL502" i="4"/>
  <c r="N502" i="4"/>
  <c r="O502" i="4" s="1"/>
  <c r="K502" i="4"/>
  <c r="I502" i="4"/>
  <c r="AL501" i="4"/>
  <c r="N501" i="4"/>
  <c r="O501" i="4" s="1"/>
  <c r="K501" i="4"/>
  <c r="I501" i="4"/>
  <c r="L501" i="4" s="1"/>
  <c r="AL500" i="4"/>
  <c r="N500" i="4"/>
  <c r="O500" i="4" s="1"/>
  <c r="K500" i="4"/>
  <c r="I500" i="4"/>
  <c r="L500" i="4" s="1"/>
  <c r="AL499" i="4"/>
  <c r="N499" i="4"/>
  <c r="O499" i="4" s="1"/>
  <c r="K499" i="4"/>
  <c r="I499" i="4"/>
  <c r="AL498" i="4"/>
  <c r="N498" i="4"/>
  <c r="O498" i="4" s="1"/>
  <c r="K498" i="4"/>
  <c r="I498" i="4"/>
  <c r="H498" i="4" s="1"/>
  <c r="J498" i="4" s="1"/>
  <c r="AL497" i="4"/>
  <c r="N497" i="4"/>
  <c r="K497" i="4"/>
  <c r="I497" i="4"/>
  <c r="AL496" i="4"/>
  <c r="N496" i="4"/>
  <c r="K496" i="4"/>
  <c r="I496" i="4"/>
  <c r="L496" i="4" s="1"/>
  <c r="AL495" i="4"/>
  <c r="N495" i="4"/>
  <c r="O495" i="4" s="1"/>
  <c r="K495" i="4"/>
  <c r="I495" i="4"/>
  <c r="L495" i="4" s="1"/>
  <c r="AL494" i="4"/>
  <c r="N494" i="4"/>
  <c r="O494" i="4" s="1"/>
  <c r="K494" i="4"/>
  <c r="I494" i="4"/>
  <c r="AL493" i="4"/>
  <c r="N493" i="4"/>
  <c r="K493" i="4"/>
  <c r="I493" i="4"/>
  <c r="H493" i="4" s="1"/>
  <c r="J493" i="4" s="1"/>
  <c r="AL492" i="4"/>
  <c r="N492" i="4"/>
  <c r="K492" i="4"/>
  <c r="I492" i="4"/>
  <c r="H492" i="4" s="1"/>
  <c r="J492" i="4" s="1"/>
  <c r="AL491" i="4"/>
  <c r="N491" i="4"/>
  <c r="O491" i="4" s="1"/>
  <c r="K491" i="4"/>
  <c r="I491" i="4"/>
  <c r="H491" i="4" s="1"/>
  <c r="J491" i="4" s="1"/>
  <c r="AL490" i="4"/>
  <c r="N490" i="4"/>
  <c r="O490" i="4" s="1"/>
  <c r="K490" i="4"/>
  <c r="I490" i="4"/>
  <c r="AL489" i="4"/>
  <c r="N489" i="4"/>
  <c r="O489" i="4" s="1"/>
  <c r="K489" i="4"/>
  <c r="I489" i="4"/>
  <c r="L489" i="4" s="1"/>
  <c r="AL488" i="4"/>
  <c r="N488" i="4"/>
  <c r="O488" i="4" s="1"/>
  <c r="K488" i="4"/>
  <c r="I488" i="4"/>
  <c r="AL487" i="4"/>
  <c r="N487" i="4"/>
  <c r="O487" i="4" s="1"/>
  <c r="K487" i="4"/>
  <c r="I487" i="4"/>
  <c r="AL486" i="4"/>
  <c r="N486" i="4"/>
  <c r="O486" i="4" s="1"/>
  <c r="K486" i="4"/>
  <c r="I486" i="4"/>
  <c r="H486" i="4" s="1"/>
  <c r="J486" i="4" s="1"/>
  <c r="AL485" i="4"/>
  <c r="N485" i="4"/>
  <c r="O485" i="4" s="1"/>
  <c r="K485" i="4"/>
  <c r="I485" i="4"/>
  <c r="AL484" i="4"/>
  <c r="N484" i="4"/>
  <c r="O484" i="4" s="1"/>
  <c r="K484" i="4"/>
  <c r="I484" i="4"/>
  <c r="AL483" i="4"/>
  <c r="N483" i="4"/>
  <c r="K483" i="4"/>
  <c r="I483" i="4"/>
  <c r="AL482" i="4"/>
  <c r="N482" i="4"/>
  <c r="K482" i="4"/>
  <c r="I482" i="4"/>
  <c r="L482" i="4" s="1"/>
  <c r="AL481" i="4"/>
  <c r="N481" i="4"/>
  <c r="O481" i="4" s="1"/>
  <c r="K481" i="4"/>
  <c r="I481" i="4"/>
  <c r="AL480" i="4"/>
  <c r="N480" i="4"/>
  <c r="O480" i="4" s="1"/>
  <c r="K480" i="4"/>
  <c r="I480" i="4"/>
  <c r="AL479" i="4"/>
  <c r="N479" i="4"/>
  <c r="O479" i="4" s="1"/>
  <c r="K479" i="4"/>
  <c r="I479" i="4"/>
  <c r="L479" i="4" s="1"/>
  <c r="AL478" i="4"/>
  <c r="N478" i="4"/>
  <c r="O478" i="4" s="1"/>
  <c r="K478" i="4"/>
  <c r="I478" i="4"/>
  <c r="AL477" i="4"/>
  <c r="N477" i="4"/>
  <c r="K477" i="4"/>
  <c r="I477" i="4"/>
  <c r="H477" i="4" s="1"/>
  <c r="J477" i="4" s="1"/>
  <c r="AL476" i="4"/>
  <c r="N476" i="4"/>
  <c r="K476" i="4"/>
  <c r="I476" i="4"/>
  <c r="H476" i="4" s="1"/>
  <c r="J476" i="4" s="1"/>
  <c r="AL475" i="4"/>
  <c r="N475" i="4"/>
  <c r="K475" i="4"/>
  <c r="I475" i="4"/>
  <c r="H475" i="4" s="1"/>
  <c r="J475" i="4" s="1"/>
  <c r="AL474" i="4"/>
  <c r="N474" i="4"/>
  <c r="O474" i="4" s="1"/>
  <c r="K474" i="4"/>
  <c r="I474" i="4"/>
  <c r="L474" i="4" s="1"/>
  <c r="AL473" i="4"/>
  <c r="N473" i="4"/>
  <c r="O473" i="4" s="1"/>
  <c r="K473" i="4"/>
  <c r="I473" i="4"/>
  <c r="H473" i="4" s="1"/>
  <c r="J473" i="4" s="1"/>
  <c r="AL472" i="4"/>
  <c r="N472" i="4"/>
  <c r="O472" i="4" s="1"/>
  <c r="K472" i="4"/>
  <c r="I472" i="4"/>
  <c r="AL471" i="4"/>
  <c r="N471" i="4"/>
  <c r="O471" i="4" s="1"/>
  <c r="K471" i="4"/>
  <c r="I471" i="4"/>
  <c r="AL470" i="4"/>
  <c r="N470" i="4"/>
  <c r="O470" i="4" s="1"/>
  <c r="K470" i="4"/>
  <c r="I470" i="4"/>
  <c r="H470" i="4" s="1"/>
  <c r="J470" i="4" s="1"/>
  <c r="AL469" i="4"/>
  <c r="N469" i="4"/>
  <c r="O469" i="4" s="1"/>
  <c r="K469" i="4"/>
  <c r="I469" i="4"/>
  <c r="L469" i="4" s="1"/>
  <c r="AL468" i="4"/>
  <c r="N468" i="4"/>
  <c r="K468" i="4"/>
  <c r="I468" i="4"/>
  <c r="AL467" i="4"/>
  <c r="N467" i="4"/>
  <c r="O467" i="4" s="1"/>
  <c r="K467" i="4"/>
  <c r="I467" i="4"/>
  <c r="H467" i="4" s="1"/>
  <c r="J467" i="4" s="1"/>
  <c r="AL466" i="4"/>
  <c r="N466" i="4"/>
  <c r="O466" i="4" s="1"/>
  <c r="K466" i="4"/>
  <c r="I466" i="4"/>
  <c r="AL465" i="4"/>
  <c r="N465" i="4"/>
  <c r="O465" i="4" s="1"/>
  <c r="K465" i="4"/>
  <c r="I465" i="4"/>
  <c r="L465" i="4" s="1"/>
  <c r="AL464" i="4"/>
  <c r="N464" i="4"/>
  <c r="O464" i="4" s="1"/>
  <c r="K464" i="4"/>
  <c r="I464" i="4"/>
  <c r="AL463" i="4"/>
  <c r="N463" i="4"/>
  <c r="O463" i="4" s="1"/>
  <c r="K463" i="4"/>
  <c r="I463" i="4"/>
  <c r="AL462" i="4"/>
  <c r="N462" i="4"/>
  <c r="O462" i="4" s="1"/>
  <c r="K462" i="4"/>
  <c r="I462" i="4"/>
  <c r="H462" i="4" s="1"/>
  <c r="J462" i="4" s="1"/>
  <c r="AL461" i="4"/>
  <c r="N461" i="4"/>
  <c r="O461" i="4" s="1"/>
  <c r="K461" i="4"/>
  <c r="I461" i="4"/>
  <c r="L461" i="4" s="1"/>
  <c r="AL460" i="4"/>
  <c r="N460" i="4"/>
  <c r="O460" i="4" s="1"/>
  <c r="K460" i="4"/>
  <c r="I460" i="4"/>
  <c r="L460" i="4" s="1"/>
  <c r="AL459" i="4"/>
  <c r="N459" i="4"/>
  <c r="O459" i="4" s="1"/>
  <c r="K459" i="4"/>
  <c r="I459" i="4"/>
  <c r="L459" i="4" s="1"/>
  <c r="AL458" i="4"/>
  <c r="N458" i="4"/>
  <c r="O458" i="4" s="1"/>
  <c r="K458" i="4"/>
  <c r="I458" i="4"/>
  <c r="AL457" i="4"/>
  <c r="N457" i="4"/>
  <c r="O457" i="4" s="1"/>
  <c r="K457" i="4"/>
  <c r="I457" i="4"/>
  <c r="L457" i="4" s="1"/>
  <c r="AL456" i="4"/>
  <c r="N456" i="4"/>
  <c r="O456" i="4" s="1"/>
  <c r="K456" i="4"/>
  <c r="I456" i="4"/>
  <c r="L456" i="4" s="1"/>
  <c r="AL455" i="4"/>
  <c r="N455" i="4"/>
  <c r="O455" i="4" s="1"/>
  <c r="K455" i="4"/>
  <c r="I455" i="4"/>
  <c r="L455" i="4" s="1"/>
  <c r="AL454" i="4"/>
  <c r="N454" i="4"/>
  <c r="K454" i="4"/>
  <c r="I454" i="4"/>
  <c r="AL453" i="4"/>
  <c r="N453" i="4"/>
  <c r="O453" i="4" s="1"/>
  <c r="K453" i="4"/>
  <c r="I453" i="4"/>
  <c r="AL452" i="4"/>
  <c r="N452" i="4"/>
  <c r="O452" i="4" s="1"/>
  <c r="K452" i="4"/>
  <c r="I452" i="4"/>
  <c r="L452" i="4" s="1"/>
  <c r="AL451" i="4"/>
  <c r="N451" i="4"/>
  <c r="O451" i="4" s="1"/>
  <c r="K451" i="4"/>
  <c r="I451" i="4"/>
  <c r="AL450" i="4"/>
  <c r="N450" i="4"/>
  <c r="O450" i="4" s="1"/>
  <c r="K450" i="4"/>
  <c r="I450" i="4"/>
  <c r="AL449" i="4"/>
  <c r="N449" i="4"/>
  <c r="O449" i="4" s="1"/>
  <c r="K449" i="4"/>
  <c r="I449" i="4"/>
  <c r="AL448" i="4"/>
  <c r="N448" i="4"/>
  <c r="K448" i="4"/>
  <c r="I448" i="4"/>
  <c r="H448" i="4" s="1"/>
  <c r="J448" i="4" s="1"/>
  <c r="AL447" i="4"/>
  <c r="N447" i="4"/>
  <c r="K447" i="4"/>
  <c r="I447" i="4"/>
  <c r="AL446" i="4"/>
  <c r="N446" i="4"/>
  <c r="K446" i="4"/>
  <c r="I446" i="4"/>
  <c r="H446" i="4" s="1"/>
  <c r="J446" i="4" s="1"/>
  <c r="AL445" i="4"/>
  <c r="N445" i="4"/>
  <c r="O445" i="4" s="1"/>
  <c r="K445" i="4"/>
  <c r="I445" i="4"/>
  <c r="L445" i="4" s="1"/>
  <c r="AL444" i="4"/>
  <c r="N444" i="4"/>
  <c r="K444" i="4"/>
  <c r="I444" i="4"/>
  <c r="H444" i="4" s="1"/>
  <c r="J444" i="4" s="1"/>
  <c r="AL443" i="4"/>
  <c r="N443" i="4"/>
  <c r="K443" i="4"/>
  <c r="I443" i="4"/>
  <c r="H443" i="4" s="1"/>
  <c r="J443" i="4" s="1"/>
  <c r="AL442" i="4"/>
  <c r="N442" i="4"/>
  <c r="O442" i="4" s="1"/>
  <c r="K442" i="4"/>
  <c r="I442" i="4"/>
  <c r="AL441" i="4"/>
  <c r="N441" i="4"/>
  <c r="O441" i="4" s="1"/>
  <c r="K441" i="4"/>
  <c r="I441" i="4"/>
  <c r="L441" i="4" s="1"/>
  <c r="AL440" i="4"/>
  <c r="N440" i="4"/>
  <c r="O440" i="4" s="1"/>
  <c r="K440" i="4"/>
  <c r="I440" i="4"/>
  <c r="H440" i="4" s="1"/>
  <c r="J440" i="4" s="1"/>
  <c r="AL439" i="4"/>
  <c r="N439" i="4"/>
  <c r="K439" i="4"/>
  <c r="I439" i="4"/>
  <c r="AL438" i="4"/>
  <c r="N438" i="4"/>
  <c r="K438" i="4"/>
  <c r="I438" i="4"/>
  <c r="AL437" i="4"/>
  <c r="N437" i="4"/>
  <c r="O437" i="4" s="1"/>
  <c r="K437" i="4"/>
  <c r="I437" i="4"/>
  <c r="L437" i="4" s="1"/>
  <c r="AL436" i="4"/>
  <c r="N436" i="4"/>
  <c r="O436" i="4" s="1"/>
  <c r="K436" i="4"/>
  <c r="I436" i="4"/>
  <c r="L436" i="4" s="1"/>
  <c r="AL435" i="4"/>
  <c r="N435" i="4"/>
  <c r="O435" i="4" s="1"/>
  <c r="K435" i="4"/>
  <c r="I435" i="4"/>
  <c r="L435" i="4" s="1"/>
  <c r="AL434" i="4"/>
  <c r="N434" i="4"/>
  <c r="O434" i="4" s="1"/>
  <c r="K434" i="4"/>
  <c r="I434" i="4"/>
  <c r="L434" i="4" s="1"/>
  <c r="AL433" i="4"/>
  <c r="N433" i="4"/>
  <c r="O433" i="4" s="1"/>
  <c r="K433" i="4"/>
  <c r="I433" i="4"/>
  <c r="L433" i="4" s="1"/>
  <c r="AL432" i="4"/>
  <c r="N432" i="4"/>
  <c r="K432" i="4"/>
  <c r="I432" i="4"/>
  <c r="L432" i="4" s="1"/>
  <c r="AL431" i="4"/>
  <c r="N431" i="4"/>
  <c r="K431" i="4"/>
  <c r="I431" i="4"/>
  <c r="AL430" i="4"/>
  <c r="N430" i="4"/>
  <c r="O430" i="4" s="1"/>
  <c r="K430" i="4"/>
  <c r="I430" i="4"/>
  <c r="H430" i="4" s="1"/>
  <c r="J430" i="4" s="1"/>
  <c r="AL429" i="4"/>
  <c r="N429" i="4"/>
  <c r="O429" i="4" s="1"/>
  <c r="K429" i="4"/>
  <c r="I429" i="4"/>
  <c r="L429" i="4" s="1"/>
  <c r="AL428" i="4"/>
  <c r="N428" i="4"/>
  <c r="O428" i="4" s="1"/>
  <c r="K428" i="4"/>
  <c r="I428" i="4"/>
  <c r="AL427" i="4"/>
  <c r="N427" i="4"/>
  <c r="O427" i="4" s="1"/>
  <c r="K427" i="4"/>
  <c r="I427" i="4"/>
  <c r="AL426" i="4"/>
  <c r="N426" i="4"/>
  <c r="O426" i="4" s="1"/>
  <c r="K426" i="4"/>
  <c r="I426" i="4"/>
  <c r="L426" i="4" s="1"/>
  <c r="AL425" i="4"/>
  <c r="N425" i="4"/>
  <c r="O425" i="4" s="1"/>
  <c r="K425" i="4"/>
  <c r="I425" i="4"/>
  <c r="L425" i="4" s="1"/>
  <c r="AL424" i="4"/>
  <c r="N424" i="4"/>
  <c r="O424" i="4" s="1"/>
  <c r="K424" i="4"/>
  <c r="I424" i="4"/>
  <c r="AL423" i="4"/>
  <c r="N423" i="4"/>
  <c r="K423" i="4"/>
  <c r="I423" i="4"/>
  <c r="L423" i="4" s="1"/>
  <c r="AL422" i="4"/>
  <c r="N422" i="4"/>
  <c r="O422" i="4" s="1"/>
  <c r="K422" i="4"/>
  <c r="I422" i="4"/>
  <c r="AL421" i="4"/>
  <c r="N421" i="4"/>
  <c r="O421" i="4" s="1"/>
  <c r="K421" i="4"/>
  <c r="I421" i="4"/>
  <c r="H421" i="4" s="1"/>
  <c r="J421" i="4" s="1"/>
  <c r="AL420" i="4"/>
  <c r="N420" i="4"/>
  <c r="K420" i="4"/>
  <c r="I420" i="4"/>
  <c r="AL419" i="4"/>
  <c r="N419" i="4"/>
  <c r="O419" i="4" s="1"/>
  <c r="K419" i="4"/>
  <c r="I419" i="4"/>
  <c r="L419" i="4" s="1"/>
  <c r="AL418" i="4"/>
  <c r="N418" i="4"/>
  <c r="O418" i="4" s="1"/>
  <c r="K418" i="4"/>
  <c r="I418" i="4"/>
  <c r="L418" i="4" s="1"/>
  <c r="AL417" i="4"/>
  <c r="N417" i="4"/>
  <c r="O417" i="4" s="1"/>
  <c r="K417" i="4"/>
  <c r="I417" i="4"/>
  <c r="AL416" i="4"/>
  <c r="N416" i="4"/>
  <c r="O416" i="4" s="1"/>
  <c r="K416" i="4"/>
  <c r="I416" i="4"/>
  <c r="L416" i="4" s="1"/>
  <c r="AL415" i="4"/>
  <c r="N415" i="4"/>
  <c r="O415" i="4" s="1"/>
  <c r="K415" i="4"/>
  <c r="I415" i="4"/>
  <c r="L415" i="4" s="1"/>
  <c r="AL414" i="4"/>
  <c r="N414" i="4"/>
  <c r="O414" i="4" s="1"/>
  <c r="K414" i="4"/>
  <c r="I414" i="4"/>
  <c r="L414" i="4" s="1"/>
  <c r="AL413" i="4"/>
  <c r="N413" i="4"/>
  <c r="O413" i="4" s="1"/>
  <c r="K413" i="4"/>
  <c r="I413" i="4"/>
  <c r="L413" i="4" s="1"/>
  <c r="AL412" i="4"/>
  <c r="N412" i="4"/>
  <c r="O412" i="4" s="1"/>
  <c r="K412" i="4"/>
  <c r="I412" i="4"/>
  <c r="H412" i="4" s="1"/>
  <c r="J412" i="4" s="1"/>
  <c r="AL411" i="4"/>
  <c r="N411" i="4"/>
  <c r="O411" i="4" s="1"/>
  <c r="K411" i="4"/>
  <c r="I411" i="4"/>
  <c r="L411" i="4" s="1"/>
  <c r="AL410" i="4"/>
  <c r="N410" i="4"/>
  <c r="K410" i="4"/>
  <c r="I410" i="4"/>
  <c r="H410" i="4" s="1"/>
  <c r="J410" i="4" s="1"/>
  <c r="AL409" i="4"/>
  <c r="N409" i="4"/>
  <c r="K409" i="4"/>
  <c r="I409" i="4"/>
  <c r="L409" i="4" s="1"/>
  <c r="AL408" i="4"/>
  <c r="N408" i="4"/>
  <c r="K408" i="4"/>
  <c r="I408" i="4"/>
  <c r="L408" i="4" s="1"/>
  <c r="AL407" i="4"/>
  <c r="N407" i="4"/>
  <c r="O407" i="4" s="1"/>
  <c r="K407" i="4"/>
  <c r="I407" i="4"/>
  <c r="H407" i="4" s="1"/>
  <c r="J407" i="4" s="1"/>
  <c r="AL406" i="4"/>
  <c r="N406" i="4"/>
  <c r="K406" i="4"/>
  <c r="I406" i="4"/>
  <c r="H406" i="4" s="1"/>
  <c r="J406" i="4" s="1"/>
  <c r="AL405" i="4"/>
  <c r="N405" i="4"/>
  <c r="K405" i="4"/>
  <c r="I405" i="4"/>
  <c r="H405" i="4" s="1"/>
  <c r="J405" i="4" s="1"/>
  <c r="AL404" i="4"/>
  <c r="N404" i="4"/>
  <c r="K404" i="4"/>
  <c r="I404" i="4"/>
  <c r="H404" i="4" s="1"/>
  <c r="J404" i="4" s="1"/>
  <c r="AL403" i="4"/>
  <c r="N403" i="4"/>
  <c r="K403" i="4"/>
  <c r="I403" i="4"/>
  <c r="AL402" i="4"/>
  <c r="N402" i="4"/>
  <c r="K402" i="4"/>
  <c r="I402" i="4"/>
  <c r="L402" i="4" s="1"/>
  <c r="AL401" i="4"/>
  <c r="N401" i="4"/>
  <c r="K401" i="4"/>
  <c r="I401" i="4"/>
  <c r="L401" i="4" s="1"/>
  <c r="AL400" i="4"/>
  <c r="N400" i="4"/>
  <c r="O400" i="4" s="1"/>
  <c r="K400" i="4"/>
  <c r="I400" i="4"/>
  <c r="L400" i="4" s="1"/>
  <c r="AL399" i="4"/>
  <c r="N399" i="4"/>
  <c r="O399" i="4" s="1"/>
  <c r="K399" i="4"/>
  <c r="I399" i="4"/>
  <c r="L399" i="4" s="1"/>
  <c r="AL398" i="4"/>
  <c r="N398" i="4"/>
  <c r="O398" i="4" s="1"/>
  <c r="K398" i="4"/>
  <c r="I398" i="4"/>
  <c r="L398" i="4" s="1"/>
  <c r="AL397" i="4"/>
  <c r="N397" i="4"/>
  <c r="O397" i="4" s="1"/>
  <c r="K397" i="4"/>
  <c r="I397" i="4"/>
  <c r="AL396" i="4"/>
  <c r="N396" i="4"/>
  <c r="O396" i="4" s="1"/>
  <c r="K396" i="4"/>
  <c r="I396" i="4"/>
  <c r="AL395" i="4"/>
  <c r="N395" i="4"/>
  <c r="O395" i="4" s="1"/>
  <c r="K395" i="4"/>
  <c r="I395" i="4"/>
  <c r="L395" i="4" s="1"/>
  <c r="AL394" i="4"/>
  <c r="N394" i="4"/>
  <c r="O394" i="4" s="1"/>
  <c r="K394" i="4"/>
  <c r="I394" i="4"/>
  <c r="L394" i="4" s="1"/>
  <c r="AL393" i="4"/>
  <c r="N393" i="4"/>
  <c r="O393" i="4" s="1"/>
  <c r="K393" i="4"/>
  <c r="I393" i="4"/>
  <c r="AL392" i="4"/>
  <c r="N392" i="4"/>
  <c r="O392" i="4" s="1"/>
  <c r="K392" i="4"/>
  <c r="I392" i="4"/>
  <c r="AL391" i="4"/>
  <c r="N391" i="4"/>
  <c r="O391" i="4" s="1"/>
  <c r="K391" i="4"/>
  <c r="I391" i="4"/>
  <c r="H391" i="4" s="1"/>
  <c r="J391" i="4" s="1"/>
  <c r="AL390" i="4"/>
  <c r="N390" i="4"/>
  <c r="O390" i="4" s="1"/>
  <c r="K390" i="4"/>
  <c r="I390" i="4"/>
  <c r="H390" i="4" s="1"/>
  <c r="J390" i="4" s="1"/>
  <c r="AL389" i="4"/>
  <c r="N389" i="4"/>
  <c r="O389" i="4" s="1"/>
  <c r="K389" i="4"/>
  <c r="I389" i="4"/>
  <c r="H389" i="4" s="1"/>
  <c r="J389" i="4" s="1"/>
  <c r="AL388" i="4"/>
  <c r="N388" i="4"/>
  <c r="K388" i="4"/>
  <c r="I388" i="4"/>
  <c r="H388" i="4" s="1"/>
  <c r="J388" i="4" s="1"/>
  <c r="AL387" i="4"/>
  <c r="N387" i="4"/>
  <c r="K387" i="4"/>
  <c r="I387" i="4"/>
  <c r="AL386" i="4"/>
  <c r="N386" i="4"/>
  <c r="K386" i="4"/>
  <c r="I386" i="4"/>
  <c r="L386" i="4" s="1"/>
  <c r="AL385" i="4"/>
  <c r="N385" i="4"/>
  <c r="K385" i="4"/>
  <c r="I385" i="4"/>
  <c r="AL384" i="4"/>
  <c r="N384" i="4"/>
  <c r="O384" i="4" s="1"/>
  <c r="K384" i="4"/>
  <c r="I384" i="4"/>
  <c r="AL383" i="4"/>
  <c r="N383" i="4"/>
  <c r="O383" i="4" s="1"/>
  <c r="K383" i="4"/>
  <c r="I383" i="4"/>
  <c r="H383" i="4" s="1"/>
  <c r="J383" i="4" s="1"/>
  <c r="AL382" i="4"/>
  <c r="N382" i="4"/>
  <c r="O382" i="4" s="1"/>
  <c r="K382" i="4"/>
  <c r="I382" i="4"/>
  <c r="H382" i="4" s="1"/>
  <c r="J382" i="4" s="1"/>
  <c r="AL381" i="4"/>
  <c r="N381" i="4"/>
  <c r="K381" i="4"/>
  <c r="I381" i="4"/>
  <c r="H381" i="4" s="1"/>
  <c r="J381" i="4" s="1"/>
  <c r="AL380" i="4"/>
  <c r="N380" i="4"/>
  <c r="K380" i="4"/>
  <c r="I380" i="4"/>
  <c r="H380" i="4" s="1"/>
  <c r="J380" i="4" s="1"/>
  <c r="AL379" i="4"/>
  <c r="N379" i="4"/>
  <c r="K379" i="4"/>
  <c r="I379" i="4"/>
  <c r="H379" i="4" s="1"/>
  <c r="J379" i="4" s="1"/>
  <c r="AL378" i="4"/>
  <c r="N378" i="4"/>
  <c r="O378" i="4" s="1"/>
  <c r="K378" i="4"/>
  <c r="I378" i="4"/>
  <c r="AL377" i="4"/>
  <c r="N377" i="4"/>
  <c r="O377" i="4" s="1"/>
  <c r="K377" i="4"/>
  <c r="I377" i="4"/>
  <c r="H377" i="4" s="1"/>
  <c r="J377" i="4" s="1"/>
  <c r="AL376" i="4"/>
  <c r="N376" i="4"/>
  <c r="O376" i="4" s="1"/>
  <c r="K376" i="4"/>
  <c r="I376" i="4"/>
  <c r="AL375" i="4"/>
  <c r="N375" i="4"/>
  <c r="O375" i="4" s="1"/>
  <c r="K375" i="4"/>
  <c r="I375" i="4"/>
  <c r="AL374" i="4"/>
  <c r="N374" i="4"/>
  <c r="K374" i="4"/>
  <c r="I374" i="4"/>
  <c r="L374" i="4" s="1"/>
  <c r="AL373" i="4"/>
  <c r="N373" i="4"/>
  <c r="K373" i="4"/>
  <c r="I373" i="4"/>
  <c r="L373" i="4" s="1"/>
  <c r="AL372" i="4"/>
  <c r="N372" i="4"/>
  <c r="O372" i="4" s="1"/>
  <c r="K372" i="4"/>
  <c r="I372" i="4"/>
  <c r="AL371" i="4"/>
  <c r="N371" i="4"/>
  <c r="O371" i="4" s="1"/>
  <c r="K371" i="4"/>
  <c r="I371" i="4"/>
  <c r="L371" i="4" s="1"/>
  <c r="AL370" i="4"/>
  <c r="N370" i="4"/>
  <c r="O370" i="4" s="1"/>
  <c r="K370" i="4"/>
  <c r="I370" i="4"/>
  <c r="H370" i="4" s="1"/>
  <c r="J370" i="4" s="1"/>
  <c r="AL369" i="4"/>
  <c r="N369" i="4"/>
  <c r="O369" i="4" s="1"/>
  <c r="K369" i="4"/>
  <c r="I369" i="4"/>
  <c r="H369" i="4" s="1"/>
  <c r="J369" i="4" s="1"/>
  <c r="AL368" i="4"/>
  <c r="N368" i="4"/>
  <c r="K368" i="4"/>
  <c r="I368" i="4"/>
  <c r="AL367" i="4"/>
  <c r="N367" i="4"/>
  <c r="O367" i="4" s="1"/>
  <c r="K367" i="4"/>
  <c r="I367" i="4"/>
  <c r="L367" i="4" s="1"/>
  <c r="AL366" i="4"/>
  <c r="N366" i="4"/>
  <c r="K366" i="4"/>
  <c r="I366" i="4"/>
  <c r="L366" i="4" s="1"/>
  <c r="AL365" i="4"/>
  <c r="N365" i="4"/>
  <c r="K365" i="4"/>
  <c r="I365" i="4"/>
  <c r="H365" i="4" s="1"/>
  <c r="J365" i="4" s="1"/>
  <c r="AL364" i="4"/>
  <c r="N364" i="4"/>
  <c r="O364" i="4" s="1"/>
  <c r="K364" i="4"/>
  <c r="I364" i="4"/>
  <c r="H364" i="4" s="1"/>
  <c r="J364" i="4" s="1"/>
  <c r="AL363" i="4"/>
  <c r="N363" i="4"/>
  <c r="K363" i="4"/>
  <c r="I363" i="4"/>
  <c r="L363" i="4" s="1"/>
  <c r="AL362" i="4"/>
  <c r="N362" i="4"/>
  <c r="K362" i="4"/>
  <c r="I362" i="4"/>
  <c r="H362" i="4" s="1"/>
  <c r="J362" i="4" s="1"/>
  <c r="AL361" i="4"/>
  <c r="N361" i="4"/>
  <c r="K361" i="4"/>
  <c r="I361" i="4"/>
  <c r="AL360" i="4"/>
  <c r="N360" i="4"/>
  <c r="K360" i="4"/>
  <c r="I360" i="4"/>
  <c r="L360" i="4" s="1"/>
  <c r="AL359" i="4"/>
  <c r="N359" i="4"/>
  <c r="O359" i="4" s="1"/>
  <c r="K359" i="4"/>
  <c r="I359" i="4"/>
  <c r="AL358" i="4"/>
  <c r="N358" i="4"/>
  <c r="O358" i="4" s="1"/>
  <c r="K358" i="4"/>
  <c r="I358" i="4"/>
  <c r="L358" i="4" s="1"/>
  <c r="AL357" i="4"/>
  <c r="N357" i="4"/>
  <c r="O357" i="4" s="1"/>
  <c r="K357" i="4"/>
  <c r="I357" i="4"/>
  <c r="L357" i="4" s="1"/>
  <c r="AL356" i="4"/>
  <c r="N356" i="4"/>
  <c r="O356" i="4" s="1"/>
  <c r="K356" i="4"/>
  <c r="I356" i="4"/>
  <c r="H356" i="4" s="1"/>
  <c r="J356" i="4" s="1"/>
  <c r="AL355" i="4"/>
  <c r="N355" i="4"/>
  <c r="K355" i="4"/>
  <c r="I355" i="4"/>
  <c r="L355" i="4" s="1"/>
  <c r="AL354" i="4"/>
  <c r="N354" i="4"/>
  <c r="O354" i="4" s="1"/>
  <c r="K354" i="4"/>
  <c r="I354" i="4"/>
  <c r="H354" i="4" s="1"/>
  <c r="J354" i="4" s="1"/>
  <c r="AL353" i="4"/>
  <c r="N353" i="4"/>
  <c r="K353" i="4"/>
  <c r="I353" i="4"/>
  <c r="H353" i="4" s="1"/>
  <c r="J353" i="4" s="1"/>
  <c r="AL352" i="4"/>
  <c r="N352" i="4"/>
  <c r="K352" i="4"/>
  <c r="I352" i="4"/>
  <c r="L352" i="4" s="1"/>
  <c r="AL351" i="4"/>
  <c r="N351" i="4"/>
  <c r="O351" i="4" s="1"/>
  <c r="K351" i="4"/>
  <c r="I351" i="4"/>
  <c r="H351" i="4" s="1"/>
  <c r="J351" i="4" s="1"/>
  <c r="AL350" i="4"/>
  <c r="N350" i="4"/>
  <c r="K350" i="4"/>
  <c r="I350" i="4"/>
  <c r="L350" i="4" s="1"/>
  <c r="AL349" i="4"/>
  <c r="N349" i="4"/>
  <c r="O349" i="4" s="1"/>
  <c r="K349" i="4"/>
  <c r="I349" i="4"/>
  <c r="AL348" i="4"/>
  <c r="N348" i="4"/>
  <c r="O348" i="4" s="1"/>
  <c r="K348" i="4"/>
  <c r="I348" i="4"/>
  <c r="AL347" i="4"/>
  <c r="N347" i="4"/>
  <c r="K347" i="4"/>
  <c r="I347" i="4"/>
  <c r="L347" i="4" s="1"/>
  <c r="AL346" i="4"/>
  <c r="N346" i="4"/>
  <c r="O346" i="4" s="1"/>
  <c r="K346" i="4"/>
  <c r="I346" i="4"/>
  <c r="AL345" i="4"/>
  <c r="N345" i="4"/>
  <c r="O345" i="4" s="1"/>
  <c r="K345" i="4"/>
  <c r="I345" i="4"/>
  <c r="H345" i="4" s="1"/>
  <c r="J345" i="4" s="1"/>
  <c r="AL344" i="4"/>
  <c r="N344" i="4"/>
  <c r="O344" i="4" s="1"/>
  <c r="K344" i="4"/>
  <c r="I344" i="4"/>
  <c r="L344" i="4" s="1"/>
  <c r="AL343" i="4"/>
  <c r="N343" i="4"/>
  <c r="O343" i="4" s="1"/>
  <c r="K343" i="4"/>
  <c r="I343" i="4"/>
  <c r="L343" i="4" s="1"/>
  <c r="AL342" i="4"/>
  <c r="N342" i="4"/>
  <c r="K342" i="4"/>
  <c r="I342" i="4"/>
  <c r="L342" i="4" s="1"/>
  <c r="AL341" i="4"/>
  <c r="N341" i="4"/>
  <c r="O341" i="4" s="1"/>
  <c r="K341" i="4"/>
  <c r="I341" i="4"/>
  <c r="AL340" i="4"/>
  <c r="N340" i="4"/>
  <c r="O340" i="4" s="1"/>
  <c r="K340" i="4"/>
  <c r="I340" i="4"/>
  <c r="H340" i="4" s="1"/>
  <c r="J340" i="4" s="1"/>
  <c r="AL339" i="4"/>
  <c r="N339" i="4"/>
  <c r="K339" i="4"/>
  <c r="I339" i="4"/>
  <c r="L339" i="4" s="1"/>
  <c r="AL338" i="4"/>
  <c r="N338" i="4"/>
  <c r="K338" i="4"/>
  <c r="I338" i="4"/>
  <c r="H338" i="4" s="1"/>
  <c r="J338" i="4" s="1"/>
  <c r="AL337" i="4"/>
  <c r="N337" i="4"/>
  <c r="O337" i="4" s="1"/>
  <c r="K337" i="4"/>
  <c r="I337" i="4"/>
  <c r="AL336" i="4"/>
  <c r="N336" i="4"/>
  <c r="O336" i="4" s="1"/>
  <c r="K336" i="4"/>
  <c r="I336" i="4"/>
  <c r="L336" i="4" s="1"/>
  <c r="AL335" i="4"/>
  <c r="N335" i="4"/>
  <c r="O335" i="4" s="1"/>
  <c r="K335" i="4"/>
  <c r="I335" i="4"/>
  <c r="AL334" i="4"/>
  <c r="N334" i="4"/>
  <c r="K334" i="4"/>
  <c r="I334" i="4"/>
  <c r="L334" i="4" s="1"/>
  <c r="AL333" i="4"/>
  <c r="N333" i="4"/>
  <c r="O333" i="4" s="1"/>
  <c r="K333" i="4"/>
  <c r="I333" i="4"/>
  <c r="L333" i="4" s="1"/>
  <c r="AL332" i="4"/>
  <c r="N332" i="4"/>
  <c r="O332" i="4" s="1"/>
  <c r="K332" i="4"/>
  <c r="I332" i="4"/>
  <c r="H332" i="4" s="1"/>
  <c r="J332" i="4" s="1"/>
  <c r="AL331" i="4"/>
  <c r="N331" i="4"/>
  <c r="K331" i="4"/>
  <c r="I331" i="4"/>
  <c r="L331" i="4" s="1"/>
  <c r="AL330" i="4"/>
  <c r="N330" i="4"/>
  <c r="O330" i="4" s="1"/>
  <c r="K330" i="4"/>
  <c r="I330" i="4"/>
  <c r="AL329" i="4"/>
  <c r="N329" i="4"/>
  <c r="K329" i="4"/>
  <c r="I329" i="4"/>
  <c r="H329" i="4" s="1"/>
  <c r="J329" i="4" s="1"/>
  <c r="AL328" i="4"/>
  <c r="N328" i="4"/>
  <c r="K328" i="4"/>
  <c r="I328" i="4"/>
  <c r="L328" i="4" s="1"/>
  <c r="AL327" i="4"/>
  <c r="N327" i="4"/>
  <c r="O327" i="4" s="1"/>
  <c r="K327" i="4"/>
  <c r="I327" i="4"/>
  <c r="AL326" i="4"/>
  <c r="N326" i="4"/>
  <c r="O326" i="4" s="1"/>
  <c r="K326" i="4"/>
  <c r="I326" i="4"/>
  <c r="AL325" i="4"/>
  <c r="N325" i="4"/>
  <c r="K325" i="4"/>
  <c r="I325" i="4"/>
  <c r="L325" i="4" s="1"/>
  <c r="AL324" i="4"/>
  <c r="N324" i="4"/>
  <c r="O324" i="4" s="1"/>
  <c r="K324" i="4"/>
  <c r="I324" i="4"/>
  <c r="AL323" i="4"/>
  <c r="N323" i="4"/>
  <c r="O323" i="4" s="1"/>
  <c r="K323" i="4"/>
  <c r="I323" i="4"/>
  <c r="L323" i="4" s="1"/>
  <c r="AL322" i="4"/>
  <c r="N322" i="4"/>
  <c r="O322" i="4" s="1"/>
  <c r="K322" i="4"/>
  <c r="I322" i="4"/>
  <c r="AL321" i="4"/>
  <c r="N321" i="4"/>
  <c r="O321" i="4" s="1"/>
  <c r="K321" i="4"/>
  <c r="I321" i="4"/>
  <c r="H321" i="4" s="1"/>
  <c r="J321" i="4" s="1"/>
  <c r="AL320" i="4"/>
  <c r="N320" i="4"/>
  <c r="O320" i="4" s="1"/>
  <c r="K320" i="4"/>
  <c r="I320" i="4"/>
  <c r="L320" i="4" s="1"/>
  <c r="AL319" i="4"/>
  <c r="N319" i="4"/>
  <c r="O319" i="4" s="1"/>
  <c r="K319" i="4"/>
  <c r="I319" i="4"/>
  <c r="AL318" i="4"/>
  <c r="N318" i="4"/>
  <c r="K318" i="4"/>
  <c r="I318" i="4"/>
  <c r="AL317" i="4"/>
  <c r="N317" i="4"/>
  <c r="K317" i="4"/>
  <c r="I317" i="4"/>
  <c r="L317" i="4" s="1"/>
  <c r="AL316" i="4"/>
  <c r="N316" i="4"/>
  <c r="O316" i="4" s="1"/>
  <c r="K316" i="4"/>
  <c r="I316" i="4"/>
  <c r="AL315" i="4"/>
  <c r="N315" i="4"/>
  <c r="O315" i="4" s="1"/>
  <c r="K315" i="4"/>
  <c r="I315" i="4"/>
  <c r="L315" i="4" s="1"/>
  <c r="AL314" i="4"/>
  <c r="N314" i="4"/>
  <c r="O314" i="4" s="1"/>
  <c r="K314" i="4"/>
  <c r="I314" i="4"/>
  <c r="AL313" i="4"/>
  <c r="N313" i="4"/>
  <c r="O313" i="4" s="1"/>
  <c r="K313" i="4"/>
  <c r="I313" i="4"/>
  <c r="L313" i="4" s="1"/>
  <c r="AL312" i="4"/>
  <c r="N312" i="4"/>
  <c r="O312" i="4" s="1"/>
  <c r="K312" i="4"/>
  <c r="I312" i="4"/>
  <c r="L312" i="4" s="1"/>
  <c r="AL311" i="4"/>
  <c r="N311" i="4"/>
  <c r="O311" i="4" s="1"/>
  <c r="K311" i="4"/>
  <c r="I311" i="4"/>
  <c r="AL310" i="4"/>
  <c r="N310" i="4"/>
  <c r="O310" i="4" s="1"/>
  <c r="K310" i="4"/>
  <c r="I310" i="4"/>
  <c r="AL309" i="4"/>
  <c r="N309" i="4"/>
  <c r="K309" i="4"/>
  <c r="I309" i="4"/>
  <c r="AL308" i="4"/>
  <c r="N308" i="4"/>
  <c r="K308" i="4"/>
  <c r="I308" i="4"/>
  <c r="H308" i="4" s="1"/>
  <c r="J308" i="4" s="1"/>
  <c r="AL307" i="4"/>
  <c r="N307" i="4"/>
  <c r="K307" i="4"/>
  <c r="I307" i="4"/>
  <c r="L307" i="4" s="1"/>
  <c r="AL306" i="4"/>
  <c r="N306" i="4"/>
  <c r="K306" i="4"/>
  <c r="I306" i="4"/>
  <c r="L306" i="4" s="1"/>
  <c r="AL305" i="4"/>
  <c r="N305" i="4"/>
  <c r="K305" i="4"/>
  <c r="I305" i="4"/>
  <c r="AL304" i="4"/>
  <c r="N304" i="4"/>
  <c r="O304" i="4" s="1"/>
  <c r="K304" i="4"/>
  <c r="I304" i="4"/>
  <c r="AL303" i="4"/>
  <c r="N303" i="4"/>
  <c r="O303" i="4" s="1"/>
  <c r="K303" i="4"/>
  <c r="I303" i="4"/>
  <c r="AL302" i="4"/>
  <c r="N302" i="4"/>
  <c r="O302" i="4" s="1"/>
  <c r="K302" i="4"/>
  <c r="I302" i="4"/>
  <c r="L302" i="4" s="1"/>
  <c r="AL301" i="4"/>
  <c r="N301" i="4"/>
  <c r="O301" i="4" s="1"/>
  <c r="K301" i="4"/>
  <c r="I301" i="4"/>
  <c r="L301" i="4" s="1"/>
  <c r="AL300" i="4"/>
  <c r="N300" i="4"/>
  <c r="O300" i="4" s="1"/>
  <c r="K300" i="4"/>
  <c r="I300" i="4"/>
  <c r="H300" i="4" s="1"/>
  <c r="J300" i="4" s="1"/>
  <c r="AL299" i="4"/>
  <c r="N299" i="4"/>
  <c r="O299" i="4" s="1"/>
  <c r="K299" i="4"/>
  <c r="I299" i="4"/>
  <c r="H299" i="4" s="1"/>
  <c r="J299" i="4" s="1"/>
  <c r="AL298" i="4"/>
  <c r="N298" i="4"/>
  <c r="O298" i="4" s="1"/>
  <c r="K298" i="4"/>
  <c r="I298" i="4"/>
  <c r="L298" i="4" s="1"/>
  <c r="AL297" i="4"/>
  <c r="N297" i="4"/>
  <c r="O297" i="4" s="1"/>
  <c r="K297" i="4"/>
  <c r="I297" i="4"/>
  <c r="AL296" i="4"/>
  <c r="N296" i="4"/>
  <c r="O296" i="4" s="1"/>
  <c r="K296" i="4"/>
  <c r="I296" i="4"/>
  <c r="L296" i="4" s="1"/>
  <c r="AL295" i="4"/>
  <c r="N295" i="4"/>
  <c r="O295" i="4" s="1"/>
  <c r="K295" i="4"/>
  <c r="I295" i="4"/>
  <c r="AL294" i="4"/>
  <c r="N294" i="4"/>
  <c r="K294" i="4"/>
  <c r="I294" i="4"/>
  <c r="AL293" i="4"/>
  <c r="N293" i="4"/>
  <c r="K293" i="4"/>
  <c r="I293" i="4"/>
  <c r="AL292" i="4"/>
  <c r="N292" i="4"/>
  <c r="O292" i="4" s="1"/>
  <c r="K292" i="4"/>
  <c r="I292" i="4"/>
  <c r="H292" i="4" s="1"/>
  <c r="J292" i="4" s="1"/>
  <c r="AL291" i="4"/>
  <c r="N291" i="4"/>
  <c r="O291" i="4" s="1"/>
  <c r="K291" i="4"/>
  <c r="I291" i="4"/>
  <c r="L291" i="4" s="1"/>
  <c r="AL290" i="4"/>
  <c r="N290" i="4"/>
  <c r="O290" i="4" s="1"/>
  <c r="K290" i="4"/>
  <c r="I290" i="4"/>
  <c r="L290" i="4" s="1"/>
  <c r="AL289" i="4"/>
  <c r="N289" i="4"/>
  <c r="O289" i="4" s="1"/>
  <c r="K289" i="4"/>
  <c r="I289" i="4"/>
  <c r="AL288" i="4"/>
  <c r="N288" i="4"/>
  <c r="K288" i="4"/>
  <c r="I288" i="4"/>
  <c r="AL287" i="4"/>
  <c r="N287" i="4"/>
  <c r="O287" i="4" s="1"/>
  <c r="K287" i="4"/>
  <c r="I287" i="4"/>
  <c r="L287" i="4" s="1"/>
  <c r="AL286" i="4"/>
  <c r="N286" i="4"/>
  <c r="O286" i="4" s="1"/>
  <c r="K286" i="4"/>
  <c r="I286" i="4"/>
  <c r="H286" i="4" s="1"/>
  <c r="J286" i="4" s="1"/>
  <c r="AL285" i="4"/>
  <c r="N285" i="4"/>
  <c r="K285" i="4"/>
  <c r="I285" i="4"/>
  <c r="L285" i="4" s="1"/>
  <c r="AL284" i="4"/>
  <c r="N284" i="4"/>
  <c r="K284" i="4"/>
  <c r="I284" i="4"/>
  <c r="AL283" i="4"/>
  <c r="N283" i="4"/>
  <c r="K283" i="4"/>
  <c r="I283" i="4"/>
  <c r="L283" i="4" s="1"/>
  <c r="AL282" i="4"/>
  <c r="N282" i="4"/>
  <c r="O282" i="4" s="1"/>
  <c r="K282" i="4"/>
  <c r="I282" i="4"/>
  <c r="H282" i="4" s="1"/>
  <c r="J282" i="4" s="1"/>
  <c r="AL281" i="4"/>
  <c r="N281" i="4"/>
  <c r="O281" i="4" s="1"/>
  <c r="K281" i="4"/>
  <c r="I281" i="4"/>
  <c r="L281" i="4" s="1"/>
  <c r="AL280" i="4"/>
  <c r="N280" i="4"/>
  <c r="O280" i="4" s="1"/>
  <c r="K280" i="4"/>
  <c r="I280" i="4"/>
  <c r="L280" i="4" s="1"/>
  <c r="AL279" i="4"/>
  <c r="N279" i="4"/>
  <c r="O279" i="4" s="1"/>
  <c r="K279" i="4"/>
  <c r="I279" i="4"/>
  <c r="L279" i="4" s="1"/>
  <c r="AL278" i="4"/>
  <c r="N278" i="4"/>
  <c r="K278" i="4"/>
  <c r="I278" i="4"/>
  <c r="L278" i="4" s="1"/>
  <c r="AL277" i="4"/>
  <c r="N277" i="4"/>
  <c r="K277" i="4"/>
  <c r="I277" i="4"/>
  <c r="H277" i="4" s="1"/>
  <c r="J277" i="4" s="1"/>
  <c r="AL276" i="4"/>
  <c r="N276" i="4"/>
  <c r="O276" i="4" s="1"/>
  <c r="K276" i="4"/>
  <c r="I276" i="4"/>
  <c r="H276" i="4" s="1"/>
  <c r="J276" i="4" s="1"/>
  <c r="AL275" i="4"/>
  <c r="N275" i="4"/>
  <c r="O275" i="4" s="1"/>
  <c r="K275" i="4"/>
  <c r="I275" i="4"/>
  <c r="L275" i="4" s="1"/>
  <c r="AL274" i="4"/>
  <c r="N274" i="4"/>
  <c r="O274" i="4" s="1"/>
  <c r="K274" i="4"/>
  <c r="I274" i="4"/>
  <c r="L274" i="4" s="1"/>
  <c r="AL273" i="4"/>
  <c r="N273" i="4"/>
  <c r="O273" i="4" s="1"/>
  <c r="K273" i="4"/>
  <c r="I273" i="4"/>
  <c r="AL272" i="4"/>
  <c r="N272" i="4"/>
  <c r="O272" i="4" s="1"/>
  <c r="K272" i="4"/>
  <c r="I272" i="4"/>
  <c r="AL271" i="4"/>
  <c r="N271" i="4"/>
  <c r="O271" i="4" s="1"/>
  <c r="K271" i="4"/>
  <c r="I271" i="4"/>
  <c r="L271" i="4" s="1"/>
  <c r="AL270" i="4"/>
  <c r="N270" i="4"/>
  <c r="O270" i="4" s="1"/>
  <c r="K270" i="4"/>
  <c r="I270" i="4"/>
  <c r="L270" i="4" s="1"/>
  <c r="AL269" i="4"/>
  <c r="N269" i="4"/>
  <c r="O269" i="4" s="1"/>
  <c r="K269" i="4"/>
  <c r="I269" i="4"/>
  <c r="AL268" i="4"/>
  <c r="N268" i="4"/>
  <c r="O268" i="4" s="1"/>
  <c r="K268" i="4"/>
  <c r="I268" i="4"/>
  <c r="AL267" i="4"/>
  <c r="N267" i="4"/>
  <c r="O267" i="4" s="1"/>
  <c r="K267" i="4"/>
  <c r="I267" i="4"/>
  <c r="H267" i="4" s="1"/>
  <c r="J267" i="4" s="1"/>
  <c r="AL266" i="4"/>
  <c r="N266" i="4"/>
  <c r="K266" i="4"/>
  <c r="I266" i="4"/>
  <c r="H266" i="4" s="1"/>
  <c r="J266" i="4" s="1"/>
  <c r="AL265" i="4"/>
  <c r="N265" i="4"/>
  <c r="K265" i="4"/>
  <c r="I265" i="4"/>
  <c r="L265" i="4" s="1"/>
  <c r="AL264" i="4"/>
  <c r="N264" i="4"/>
  <c r="K264" i="4"/>
  <c r="I264" i="4"/>
  <c r="L264" i="4" s="1"/>
  <c r="AL263" i="4"/>
  <c r="N263" i="4"/>
  <c r="O263" i="4" s="1"/>
  <c r="K263" i="4"/>
  <c r="I263" i="4"/>
  <c r="AL262" i="4"/>
  <c r="N262" i="4"/>
  <c r="K262" i="4"/>
  <c r="I262" i="4"/>
  <c r="AL261" i="4"/>
  <c r="N261" i="4"/>
  <c r="K261" i="4"/>
  <c r="I261" i="4"/>
  <c r="AL260" i="4"/>
  <c r="N260" i="4"/>
  <c r="O260" i="4" s="1"/>
  <c r="K260" i="4"/>
  <c r="I260" i="4"/>
  <c r="H260" i="4" s="1"/>
  <c r="J260" i="4" s="1"/>
  <c r="AL259" i="4"/>
  <c r="N259" i="4"/>
  <c r="O259" i="4" s="1"/>
  <c r="K259" i="4"/>
  <c r="I259" i="4"/>
  <c r="H259" i="4" s="1"/>
  <c r="J259" i="4" s="1"/>
  <c r="AL258" i="4"/>
  <c r="N258" i="4"/>
  <c r="O258" i="4" s="1"/>
  <c r="K258" i="4"/>
  <c r="I258" i="4"/>
  <c r="L258" i="4" s="1"/>
  <c r="AL257" i="4"/>
  <c r="N257" i="4"/>
  <c r="O257" i="4" s="1"/>
  <c r="K257" i="4"/>
  <c r="I257" i="4"/>
  <c r="L257" i="4" s="1"/>
  <c r="AL256" i="4"/>
  <c r="N256" i="4"/>
  <c r="O256" i="4" s="1"/>
  <c r="K256" i="4"/>
  <c r="I256" i="4"/>
  <c r="L256" i="4" s="1"/>
  <c r="AL255" i="4"/>
  <c r="N255" i="4"/>
  <c r="O255" i="4" s="1"/>
  <c r="K255" i="4"/>
  <c r="I255" i="4"/>
  <c r="H255" i="4" s="1"/>
  <c r="J255" i="4" s="1"/>
  <c r="AL254" i="4"/>
  <c r="N254" i="4"/>
  <c r="O254" i="4" s="1"/>
  <c r="K254" i="4"/>
  <c r="I254" i="4"/>
  <c r="AL253" i="4"/>
  <c r="N253" i="4"/>
  <c r="O253" i="4" s="1"/>
  <c r="K253" i="4"/>
  <c r="I253" i="4"/>
  <c r="L253" i="4" s="1"/>
  <c r="AL252" i="4"/>
  <c r="N252" i="4"/>
  <c r="O252" i="4" s="1"/>
  <c r="K252" i="4"/>
  <c r="I252" i="4"/>
  <c r="AL251" i="4"/>
  <c r="N251" i="4"/>
  <c r="O251" i="4" s="1"/>
  <c r="K251" i="4"/>
  <c r="I251" i="4"/>
  <c r="L251" i="4" s="1"/>
  <c r="AL250" i="4"/>
  <c r="N250" i="4"/>
  <c r="O250" i="4" s="1"/>
  <c r="K250" i="4"/>
  <c r="I250" i="4"/>
  <c r="AL249" i="4"/>
  <c r="N249" i="4"/>
  <c r="O249" i="4" s="1"/>
  <c r="K249" i="4"/>
  <c r="I249" i="4"/>
  <c r="L249" i="4" s="1"/>
  <c r="AL248" i="4"/>
  <c r="N248" i="4"/>
  <c r="O248" i="4" s="1"/>
  <c r="K248" i="4"/>
  <c r="I248" i="4"/>
  <c r="L248" i="4" s="1"/>
  <c r="AL247" i="4"/>
  <c r="N247" i="4"/>
  <c r="O247" i="4" s="1"/>
  <c r="K247" i="4"/>
  <c r="I247" i="4"/>
  <c r="AL246" i="4"/>
  <c r="N246" i="4"/>
  <c r="O246" i="4" s="1"/>
  <c r="K246" i="4"/>
  <c r="I246" i="4"/>
  <c r="AL245" i="4"/>
  <c r="N245" i="4"/>
  <c r="K245" i="4"/>
  <c r="I245" i="4"/>
  <c r="AL244" i="4"/>
  <c r="N244" i="4"/>
  <c r="K244" i="4"/>
  <c r="I244" i="4"/>
  <c r="H244" i="4" s="1"/>
  <c r="J244" i="4" s="1"/>
  <c r="AL243" i="4"/>
  <c r="N243" i="4"/>
  <c r="K243" i="4"/>
  <c r="I243" i="4"/>
  <c r="L243" i="4" s="1"/>
  <c r="AL242" i="4"/>
  <c r="N242" i="4"/>
  <c r="K242" i="4"/>
  <c r="I242" i="4"/>
  <c r="L242" i="4" s="1"/>
  <c r="AL241" i="4"/>
  <c r="N241" i="4"/>
  <c r="K241" i="4"/>
  <c r="I241" i="4"/>
  <c r="AL240" i="4"/>
  <c r="N240" i="4"/>
  <c r="O240" i="4" s="1"/>
  <c r="K240" i="4"/>
  <c r="I240" i="4"/>
  <c r="AL239" i="4"/>
  <c r="N239" i="4"/>
  <c r="O239" i="4" s="1"/>
  <c r="K239" i="4"/>
  <c r="I239" i="4"/>
  <c r="H239" i="4" s="1"/>
  <c r="J239" i="4" s="1"/>
  <c r="AL238" i="4"/>
  <c r="N238" i="4"/>
  <c r="O238" i="4" s="1"/>
  <c r="K238" i="4"/>
  <c r="I238" i="4"/>
  <c r="H238" i="4" s="1"/>
  <c r="J238" i="4" s="1"/>
  <c r="AL237" i="4"/>
  <c r="N237" i="4"/>
  <c r="O237" i="4" s="1"/>
  <c r="K237" i="4"/>
  <c r="I237" i="4"/>
  <c r="L237" i="4" s="1"/>
  <c r="AL236" i="4"/>
  <c r="N236" i="4"/>
  <c r="O236" i="4" s="1"/>
  <c r="K236" i="4"/>
  <c r="I236" i="4"/>
  <c r="H236" i="4" s="1"/>
  <c r="J236" i="4" s="1"/>
  <c r="AL235" i="4"/>
  <c r="N235" i="4"/>
  <c r="O235" i="4" s="1"/>
  <c r="K235" i="4"/>
  <c r="I235" i="4"/>
  <c r="L235" i="4" s="1"/>
  <c r="AL234" i="4"/>
  <c r="N234" i="4"/>
  <c r="O234" i="4" s="1"/>
  <c r="K234" i="4"/>
  <c r="I234" i="4"/>
  <c r="H234" i="4" s="1"/>
  <c r="J234" i="4" s="1"/>
  <c r="AL233" i="4"/>
  <c r="N233" i="4"/>
  <c r="O233" i="4" s="1"/>
  <c r="K233" i="4"/>
  <c r="I233" i="4"/>
  <c r="AL232" i="4"/>
  <c r="N232" i="4"/>
  <c r="O232" i="4" s="1"/>
  <c r="K232" i="4"/>
  <c r="I232" i="4"/>
  <c r="L232" i="4" s="1"/>
  <c r="AL231" i="4"/>
  <c r="N231" i="4"/>
  <c r="O231" i="4" s="1"/>
  <c r="K231" i="4"/>
  <c r="I231" i="4"/>
  <c r="AL230" i="4"/>
  <c r="N230" i="4"/>
  <c r="O230" i="4" s="1"/>
  <c r="K230" i="4"/>
  <c r="I230" i="4"/>
  <c r="L230" i="4" s="1"/>
  <c r="AL229" i="4"/>
  <c r="N229" i="4"/>
  <c r="K229" i="4"/>
  <c r="I229" i="4"/>
  <c r="AL228" i="4"/>
  <c r="N228" i="4"/>
  <c r="O228" i="4" s="1"/>
  <c r="K228" i="4"/>
  <c r="I228" i="4"/>
  <c r="L228" i="4" s="1"/>
  <c r="N227" i="4"/>
  <c r="O227" i="4" s="1"/>
  <c r="I227" i="4"/>
  <c r="N226" i="4"/>
  <c r="O226" i="4" s="1"/>
  <c r="I226" i="4"/>
  <c r="N225" i="4"/>
  <c r="I225" i="4"/>
  <c r="N224" i="4"/>
  <c r="O224" i="4" s="1"/>
  <c r="I224" i="4"/>
  <c r="N223" i="4"/>
  <c r="O223" i="4" s="1"/>
  <c r="I223" i="4"/>
  <c r="N222" i="4"/>
  <c r="I222" i="4"/>
  <c r="N221" i="4"/>
  <c r="I221" i="4"/>
  <c r="N220" i="4"/>
  <c r="I220" i="4"/>
  <c r="N219" i="4"/>
  <c r="O219" i="4" s="1"/>
  <c r="I219" i="4"/>
  <c r="N218" i="4"/>
  <c r="O218" i="4" s="1"/>
  <c r="I218" i="4"/>
  <c r="N217" i="4"/>
  <c r="O217" i="4" s="1"/>
  <c r="I217" i="4"/>
  <c r="N216" i="4"/>
  <c r="I216" i="4"/>
  <c r="N215" i="4"/>
  <c r="I215" i="4"/>
  <c r="N214" i="4"/>
  <c r="I214" i="4"/>
  <c r="N213" i="4"/>
  <c r="I213" i="4"/>
  <c r="N212" i="4"/>
  <c r="I212" i="4"/>
  <c r="N211" i="4"/>
  <c r="O211" i="4" s="1"/>
  <c r="I211" i="4"/>
  <c r="N210" i="4"/>
  <c r="O210" i="4" s="1"/>
  <c r="I210" i="4"/>
  <c r="N209" i="4"/>
  <c r="I209" i="4"/>
  <c r="N208" i="4"/>
  <c r="I208" i="4"/>
  <c r="N207" i="4"/>
  <c r="I207" i="4"/>
  <c r="N206" i="4"/>
  <c r="I206" i="4"/>
  <c r="N205" i="4"/>
  <c r="I205" i="4"/>
  <c r="N204" i="4"/>
  <c r="I204" i="4"/>
  <c r="N203" i="4"/>
  <c r="I203" i="4"/>
  <c r="N202" i="4"/>
  <c r="I202" i="4"/>
  <c r="N201" i="4"/>
  <c r="I201" i="4"/>
  <c r="N200" i="4"/>
  <c r="I200" i="4"/>
  <c r="N199" i="4"/>
  <c r="O199" i="4" s="1"/>
  <c r="I199" i="4"/>
  <c r="N198" i="4"/>
  <c r="I198" i="4"/>
  <c r="N197" i="4"/>
  <c r="I197" i="4"/>
  <c r="N196" i="4"/>
  <c r="I196" i="4"/>
  <c r="N195" i="4"/>
  <c r="I195" i="4"/>
  <c r="N194" i="4"/>
  <c r="I194" i="4"/>
  <c r="N193" i="4"/>
  <c r="O193" i="4" s="1"/>
  <c r="I193" i="4"/>
  <c r="N192" i="4"/>
  <c r="O192" i="4" s="1"/>
  <c r="I192" i="4"/>
  <c r="N191" i="4"/>
  <c r="I191" i="4"/>
  <c r="N190" i="4"/>
  <c r="I190" i="4"/>
  <c r="N189" i="4"/>
  <c r="I189" i="4"/>
  <c r="N188" i="4"/>
  <c r="O188" i="4" s="1"/>
  <c r="I188" i="4"/>
  <c r="N187" i="4"/>
  <c r="O187" i="4" s="1"/>
  <c r="I187" i="4"/>
  <c r="N186" i="4"/>
  <c r="O186" i="4" s="1"/>
  <c r="I186" i="4"/>
  <c r="N185" i="4"/>
  <c r="I185" i="4"/>
  <c r="N184" i="4"/>
  <c r="I184" i="4"/>
  <c r="N183" i="4"/>
  <c r="I183" i="4"/>
  <c r="N182" i="4"/>
  <c r="I182" i="4"/>
  <c r="N181" i="4"/>
  <c r="I181" i="4"/>
  <c r="N180" i="4"/>
  <c r="I180" i="4"/>
  <c r="N179" i="4"/>
  <c r="I179" i="4"/>
  <c r="N178" i="4"/>
  <c r="I178" i="4"/>
  <c r="N177" i="4"/>
  <c r="I177" i="4"/>
  <c r="N176" i="4"/>
  <c r="O176" i="4" s="1"/>
  <c r="I176" i="4"/>
  <c r="N175" i="4"/>
  <c r="I175" i="4"/>
  <c r="N174" i="4"/>
  <c r="I174" i="4"/>
  <c r="N173" i="4"/>
  <c r="O173" i="4" s="1"/>
  <c r="I173" i="4"/>
  <c r="N172" i="4"/>
  <c r="I172" i="4"/>
  <c r="N171" i="4"/>
  <c r="I171" i="4"/>
  <c r="N170" i="4"/>
  <c r="I170" i="4"/>
  <c r="N169" i="4"/>
  <c r="I169" i="4"/>
  <c r="N168" i="4"/>
  <c r="I168" i="4"/>
  <c r="N167" i="4"/>
  <c r="I167" i="4"/>
  <c r="N166" i="4"/>
  <c r="I166" i="4"/>
  <c r="N165" i="4"/>
  <c r="I165" i="4"/>
  <c r="N164" i="4"/>
  <c r="I164" i="4"/>
  <c r="N163" i="4"/>
  <c r="O163" i="4" s="1"/>
  <c r="I163" i="4"/>
  <c r="N162" i="4"/>
  <c r="O162" i="4" s="1"/>
  <c r="I162" i="4"/>
  <c r="N161" i="4"/>
  <c r="I161" i="4"/>
  <c r="N160" i="4"/>
  <c r="O160" i="4" s="1"/>
  <c r="I160" i="4"/>
  <c r="N159" i="4"/>
  <c r="I159" i="4"/>
  <c r="N158" i="4"/>
  <c r="I158" i="4"/>
  <c r="N157" i="4"/>
  <c r="I157" i="4"/>
  <c r="N156" i="4"/>
  <c r="O156" i="4" s="1"/>
  <c r="I156" i="4"/>
  <c r="N155" i="4"/>
  <c r="I155" i="4"/>
  <c r="N154" i="4"/>
  <c r="O154" i="4" s="1"/>
  <c r="I154" i="4"/>
  <c r="N153" i="4"/>
  <c r="I153" i="4"/>
  <c r="N152" i="4"/>
  <c r="I152" i="4"/>
  <c r="N151" i="4"/>
  <c r="I151" i="4"/>
  <c r="N150" i="4"/>
  <c r="I150" i="4"/>
  <c r="N149" i="4"/>
  <c r="I149" i="4"/>
  <c r="N148" i="4"/>
  <c r="I148" i="4"/>
  <c r="N147" i="4"/>
  <c r="O147" i="4" s="1"/>
  <c r="I147" i="4"/>
  <c r="N146" i="4"/>
  <c r="I146" i="4"/>
  <c r="N145" i="4"/>
  <c r="I145" i="4"/>
  <c r="N144" i="4"/>
  <c r="I144" i="4"/>
  <c r="N143" i="4"/>
  <c r="I143" i="4"/>
  <c r="N142" i="4"/>
  <c r="I142" i="4"/>
  <c r="N141" i="4"/>
  <c r="O141" i="4" s="1"/>
  <c r="I141" i="4"/>
  <c r="N140" i="4"/>
  <c r="O140" i="4" s="1"/>
  <c r="I140" i="4"/>
  <c r="N139" i="4"/>
  <c r="I139" i="4"/>
  <c r="N138" i="4"/>
  <c r="I138" i="4"/>
  <c r="N137" i="4"/>
  <c r="I137" i="4"/>
  <c r="N136" i="4"/>
  <c r="O136" i="4" s="1"/>
  <c r="I136" i="4"/>
  <c r="N135" i="4"/>
  <c r="O135" i="4" s="1"/>
  <c r="I135" i="4"/>
  <c r="N134" i="4"/>
  <c r="O134" i="4" s="1"/>
  <c r="I134" i="4"/>
  <c r="N133" i="4"/>
  <c r="I133" i="4"/>
  <c r="N132" i="4"/>
  <c r="I132" i="4"/>
  <c r="N131" i="4"/>
  <c r="I131" i="4"/>
  <c r="N130" i="4"/>
  <c r="I130" i="4"/>
  <c r="N129" i="4"/>
  <c r="I129" i="4"/>
  <c r="N128" i="4"/>
  <c r="O128" i="4" s="1"/>
  <c r="I128" i="4"/>
  <c r="N127" i="4"/>
  <c r="I127" i="4"/>
  <c r="N126" i="4"/>
  <c r="I126" i="4"/>
  <c r="N125" i="4"/>
  <c r="I125" i="4"/>
  <c r="N124" i="4"/>
  <c r="I124" i="4"/>
  <c r="N123" i="4"/>
  <c r="O123" i="4" s="1"/>
  <c r="I123" i="4"/>
  <c r="N122" i="4"/>
  <c r="I122" i="4"/>
  <c r="N121" i="4"/>
  <c r="I121" i="4"/>
  <c r="N120" i="4"/>
  <c r="O120" i="4" s="1"/>
  <c r="I120" i="4"/>
  <c r="N119" i="4"/>
  <c r="I119" i="4"/>
  <c r="N118" i="4"/>
  <c r="I118" i="4"/>
  <c r="N117" i="4"/>
  <c r="I117" i="4"/>
  <c r="N116" i="4"/>
  <c r="I116" i="4"/>
  <c r="N115" i="4"/>
  <c r="O115" i="4" s="1"/>
  <c r="I115" i="4"/>
  <c r="N114" i="4"/>
  <c r="O114" i="4" s="1"/>
  <c r="I114" i="4"/>
  <c r="N113" i="4"/>
  <c r="I113" i="4"/>
  <c r="N112" i="4"/>
  <c r="O112" i="4" s="1"/>
  <c r="I112" i="4"/>
  <c r="N111" i="4"/>
  <c r="I111" i="4"/>
  <c r="N110" i="4"/>
  <c r="I110" i="4"/>
  <c r="N109" i="4"/>
  <c r="I109" i="4"/>
  <c r="N108" i="4"/>
  <c r="I108" i="4"/>
  <c r="N107" i="4"/>
  <c r="I107" i="4"/>
  <c r="N106" i="4"/>
  <c r="O106" i="4" s="1"/>
  <c r="I106" i="4"/>
  <c r="N105" i="4"/>
  <c r="I105" i="4"/>
  <c r="N104" i="4"/>
  <c r="O104" i="4" s="1"/>
  <c r="I104" i="4"/>
  <c r="N103" i="4"/>
  <c r="O103" i="4" s="1"/>
  <c r="I103" i="4"/>
  <c r="N102" i="4"/>
  <c r="I102" i="4"/>
  <c r="N101" i="4"/>
  <c r="I101" i="4"/>
  <c r="N100" i="4"/>
  <c r="I100" i="4"/>
  <c r="N99" i="4"/>
  <c r="I99" i="4"/>
  <c r="N98" i="4"/>
  <c r="I98" i="4"/>
  <c r="N97" i="4"/>
  <c r="I97" i="4"/>
  <c r="N96" i="4"/>
  <c r="O96" i="4" s="1"/>
  <c r="I96" i="4"/>
  <c r="N95" i="4"/>
  <c r="O95" i="4" s="1"/>
  <c r="I95" i="4"/>
  <c r="N94" i="4"/>
  <c r="I94" i="4"/>
  <c r="N93" i="4"/>
  <c r="I93" i="4"/>
  <c r="N92" i="4"/>
  <c r="I92" i="4"/>
  <c r="N91" i="4"/>
  <c r="O91" i="4" s="1"/>
  <c r="I91" i="4"/>
  <c r="N90" i="4"/>
  <c r="I90" i="4"/>
  <c r="N89" i="4"/>
  <c r="I89" i="4"/>
  <c r="N88" i="4"/>
  <c r="I88" i="4"/>
  <c r="N87" i="4"/>
  <c r="I87" i="4"/>
  <c r="N86" i="4"/>
  <c r="I86" i="4"/>
  <c r="N85" i="4"/>
  <c r="O85" i="4" s="1"/>
  <c r="I85" i="4"/>
  <c r="N84" i="4"/>
  <c r="I84" i="4"/>
  <c r="N83" i="4"/>
  <c r="O83" i="4" s="1"/>
  <c r="I83" i="4"/>
  <c r="N82" i="4"/>
  <c r="O82" i="4" s="1"/>
  <c r="I82" i="4"/>
  <c r="N81" i="4"/>
  <c r="I81" i="4"/>
  <c r="N80" i="4"/>
  <c r="I80" i="4"/>
  <c r="N79" i="4"/>
  <c r="I79" i="4"/>
  <c r="N78" i="4"/>
  <c r="I78" i="4"/>
  <c r="N77" i="4"/>
  <c r="I77" i="4"/>
  <c r="N76" i="4"/>
  <c r="I76" i="4"/>
  <c r="N75" i="4"/>
  <c r="I75" i="4"/>
  <c r="N74" i="4"/>
  <c r="I74" i="4"/>
  <c r="N73" i="4"/>
  <c r="I73" i="4"/>
  <c r="N72" i="4"/>
  <c r="O72" i="4" s="1"/>
  <c r="I72" i="4"/>
  <c r="N71" i="4"/>
  <c r="O71" i="4" s="1"/>
  <c r="I71" i="4"/>
  <c r="N70" i="4"/>
  <c r="O70" i="4" s="1"/>
  <c r="I70" i="4"/>
  <c r="N69" i="4"/>
  <c r="O69" i="4" s="1"/>
  <c r="I69" i="4"/>
  <c r="N68" i="4"/>
  <c r="I68" i="4"/>
  <c r="N67" i="4"/>
  <c r="I67" i="4"/>
  <c r="N66" i="4"/>
  <c r="I66" i="4"/>
  <c r="N65" i="4"/>
  <c r="O65" i="4" s="1"/>
  <c r="I65" i="4"/>
  <c r="N64" i="4"/>
  <c r="O64" i="4" s="1"/>
  <c r="I64" i="4"/>
  <c r="N63" i="4"/>
  <c r="O63" i="4" s="1"/>
  <c r="I63" i="4"/>
  <c r="N62" i="4"/>
  <c r="I62" i="4"/>
  <c r="N61" i="4"/>
  <c r="I61" i="4"/>
  <c r="N60" i="4"/>
  <c r="I60" i="4"/>
  <c r="N59" i="4"/>
  <c r="I59" i="4"/>
  <c r="N58" i="4"/>
  <c r="I58" i="4"/>
  <c r="N57" i="4"/>
  <c r="I57" i="4"/>
  <c r="N56" i="4"/>
  <c r="O56" i="4" s="1"/>
  <c r="I56" i="4"/>
  <c r="N55" i="4"/>
  <c r="I55" i="4"/>
  <c r="N54" i="4"/>
  <c r="I54" i="4"/>
  <c r="N53" i="4"/>
  <c r="I53" i="4"/>
  <c r="N52" i="4"/>
  <c r="I52" i="4"/>
  <c r="N51" i="4"/>
  <c r="O51" i="4" s="1"/>
  <c r="I51" i="4"/>
  <c r="N50" i="4"/>
  <c r="O50" i="4" s="1"/>
  <c r="I50" i="4"/>
  <c r="N49" i="4"/>
  <c r="O49" i="4" s="1"/>
  <c r="I49" i="4"/>
  <c r="N48" i="4"/>
  <c r="I48" i="4"/>
  <c r="N47" i="4"/>
  <c r="I47" i="4"/>
  <c r="N46" i="4"/>
  <c r="I46" i="4"/>
  <c r="N45" i="4"/>
  <c r="I45" i="4"/>
  <c r="T44" i="4"/>
  <c r="AB44" i="4" s="1"/>
  <c r="N44" i="4"/>
  <c r="I44" i="4"/>
  <c r="T43" i="4"/>
  <c r="AB43" i="4" s="1"/>
  <c r="N43" i="4"/>
  <c r="O43" i="4" s="1"/>
  <c r="I43" i="4"/>
  <c r="T42" i="4"/>
  <c r="AB42" i="4" s="1"/>
  <c r="N42" i="4"/>
  <c r="O42" i="4" s="1"/>
  <c r="I42" i="4"/>
  <c r="T41" i="4"/>
  <c r="AB41" i="4" s="1"/>
  <c r="N41" i="4"/>
  <c r="I41" i="4"/>
  <c r="T40" i="4"/>
  <c r="AB40" i="4" s="1"/>
  <c r="N40" i="4"/>
  <c r="I40" i="4"/>
  <c r="T39" i="4"/>
  <c r="AB39" i="4" s="1"/>
  <c r="N39" i="4"/>
  <c r="I39" i="4"/>
  <c r="T38" i="4"/>
  <c r="AB38" i="4" s="1"/>
  <c r="N38" i="4"/>
  <c r="I38" i="4"/>
  <c r="T37" i="4"/>
  <c r="AB37" i="4" s="1"/>
  <c r="N37" i="4"/>
  <c r="I37" i="4"/>
  <c r="T36" i="4"/>
  <c r="AB36" i="4" s="1"/>
  <c r="N36" i="4"/>
  <c r="I36" i="4"/>
  <c r="T35" i="4"/>
  <c r="AB35" i="4" s="1"/>
  <c r="N35" i="4"/>
  <c r="I35" i="4"/>
  <c r="T34" i="4"/>
  <c r="AB34" i="4" s="1"/>
  <c r="N34" i="4"/>
  <c r="I34" i="4"/>
  <c r="T33" i="4"/>
  <c r="AB33" i="4" s="1"/>
  <c r="N33" i="4"/>
  <c r="I33" i="4"/>
  <c r="T32" i="4"/>
  <c r="AB32" i="4" s="1"/>
  <c r="N32" i="4"/>
  <c r="I32" i="4"/>
  <c r="T31" i="4"/>
  <c r="AB31" i="4" s="1"/>
  <c r="N31" i="4"/>
  <c r="O31" i="4" s="1"/>
  <c r="I31" i="4"/>
  <c r="T30" i="4"/>
  <c r="AB30" i="4" s="1"/>
  <c r="N30" i="4"/>
  <c r="I30" i="4"/>
  <c r="T29" i="4"/>
  <c r="AB29" i="4" s="1"/>
  <c r="N29" i="4"/>
  <c r="I29" i="4"/>
  <c r="T28" i="4"/>
  <c r="AB28" i="4" s="1"/>
  <c r="N28" i="4"/>
  <c r="I28" i="4"/>
  <c r="T27" i="4"/>
  <c r="AB27" i="4" s="1"/>
  <c r="N27" i="4"/>
  <c r="I27" i="4"/>
  <c r="T26" i="4"/>
  <c r="AB26" i="4" s="1"/>
  <c r="N26" i="4"/>
  <c r="I26" i="4"/>
  <c r="T25" i="4"/>
  <c r="AB25" i="4" s="1"/>
  <c r="N25" i="4"/>
  <c r="I25" i="4"/>
  <c r="T24" i="4"/>
  <c r="AB24" i="4" s="1"/>
  <c r="N24" i="4"/>
  <c r="I24" i="4"/>
  <c r="T23" i="4"/>
  <c r="AB23" i="4" s="1"/>
  <c r="N23" i="4"/>
  <c r="I23" i="4"/>
  <c r="T22" i="4"/>
  <c r="AB22" i="4" s="1"/>
  <c r="N22" i="4"/>
  <c r="I22" i="4"/>
  <c r="T21" i="4"/>
  <c r="AB21" i="4" s="1"/>
  <c r="N21" i="4"/>
  <c r="O21" i="4" s="1"/>
  <c r="I21" i="4"/>
  <c r="T20" i="4"/>
  <c r="AB20" i="4" s="1"/>
  <c r="N20" i="4"/>
  <c r="I20" i="4"/>
  <c r="T19" i="4"/>
  <c r="AB19" i="4" s="1"/>
  <c r="N19" i="4"/>
  <c r="I19" i="4"/>
  <c r="T18" i="4"/>
  <c r="AB18" i="4" s="1"/>
  <c r="N18" i="4"/>
  <c r="I18" i="4"/>
  <c r="T17" i="4"/>
  <c r="AB17" i="4" s="1"/>
  <c r="N17" i="4"/>
  <c r="I17" i="4"/>
  <c r="T16" i="4"/>
  <c r="AB16" i="4" s="1"/>
  <c r="N16" i="4"/>
  <c r="I16" i="4"/>
  <c r="T15" i="4"/>
  <c r="N15" i="4"/>
  <c r="I15" i="4"/>
  <c r="T14" i="4"/>
  <c r="N14" i="4"/>
  <c r="I14" i="4"/>
  <c r="T13" i="4"/>
  <c r="N13" i="4"/>
  <c r="I13" i="4"/>
  <c r="T12" i="4"/>
  <c r="N12" i="4"/>
  <c r="I12" i="4"/>
  <c r="T11" i="4"/>
  <c r="N11" i="4"/>
  <c r="I11" i="4"/>
  <c r="T10" i="4"/>
  <c r="N10" i="4"/>
  <c r="I10" i="4"/>
  <c r="T9" i="4"/>
  <c r="N9" i="4"/>
  <c r="I9" i="4"/>
  <c r="T8" i="4"/>
  <c r="N8" i="4"/>
  <c r="I8" i="4"/>
  <c r="T7" i="4"/>
  <c r="N7" i="4"/>
  <c r="I7" i="4"/>
  <c r="AJ6" i="4"/>
  <c r="AI6" i="4"/>
  <c r="AH6" i="4"/>
  <c r="AG6" i="4"/>
  <c r="T6" i="4"/>
  <c r="N6" i="4"/>
  <c r="I6" i="4"/>
  <c r="AJ5" i="4"/>
  <c r="AI5" i="4"/>
  <c r="AH5" i="4"/>
  <c r="AG5" i="4"/>
  <c r="T5" i="4"/>
  <c r="N5" i="4"/>
  <c r="I5" i="4"/>
  <c r="D2" i="4"/>
  <c r="F8" i="3"/>
  <c r="E8" i="3"/>
  <c r="C8" i="3"/>
  <c r="B8" i="3"/>
  <c r="I16" i="2"/>
  <c r="I13" i="2"/>
  <c r="I11" i="2"/>
  <c r="I9" i="2"/>
  <c r="M1" i="2"/>
  <c r="M2" i="2" s="1"/>
  <c r="C83" i="1"/>
  <c r="C73" i="1"/>
  <c r="D68" i="1"/>
  <c r="D67" i="1"/>
  <c r="L65" i="1"/>
  <c r="I65" i="1"/>
  <c r="C65" i="1"/>
  <c r="L63" i="1"/>
  <c r="L62" i="1"/>
  <c r="O40" i="1"/>
  <c r="C29" i="1"/>
  <c r="O20" i="1"/>
  <c r="C9" i="1"/>
  <c r="D7" i="1"/>
  <c r="D6" i="1"/>
  <c r="L4" i="1"/>
  <c r="I4" i="1"/>
  <c r="C4" i="1"/>
  <c r="L2" i="1"/>
  <c r="L1" i="1"/>
  <c r="O9" i="4" l="1"/>
  <c r="H429" i="4"/>
  <c r="J429" i="4" s="1"/>
  <c r="O32" i="4"/>
  <c r="AB5" i="4"/>
  <c r="H569" i="4"/>
  <c r="J569" i="4" s="1"/>
  <c r="H469" i="4"/>
  <c r="J469" i="4" s="1"/>
  <c r="H425" i="4"/>
  <c r="J425" i="4" s="1"/>
  <c r="H343" i="4"/>
  <c r="J343" i="4" s="1"/>
  <c r="O130" i="4"/>
  <c r="H281" i="4"/>
  <c r="J281" i="4" s="1"/>
  <c r="O98" i="4"/>
  <c r="O149" i="4"/>
  <c r="O200" i="4"/>
  <c r="H265" i="4"/>
  <c r="J265" i="4" s="1"/>
  <c r="H287" i="4"/>
  <c r="J287" i="4" s="1"/>
  <c r="H455" i="4"/>
  <c r="J455" i="4" s="1"/>
  <c r="H474" i="4"/>
  <c r="J474" i="4" s="1"/>
  <c r="O143" i="4"/>
  <c r="O155" i="4"/>
  <c r="O194" i="4"/>
  <c r="O39" i="4"/>
  <c r="O168" i="4"/>
  <c r="O213" i="4"/>
  <c r="O66" i="4"/>
  <c r="O174" i="4"/>
  <c r="H242" i="4"/>
  <c r="J242" i="4" s="1"/>
  <c r="H331" i="4"/>
  <c r="J331" i="4" s="1"/>
  <c r="H374" i="4"/>
  <c r="J374" i="4" s="1"/>
  <c r="H527" i="4"/>
  <c r="J527" i="4" s="1"/>
  <c r="O124" i="4"/>
  <c r="O181" i="4"/>
  <c r="O46" i="4"/>
  <c r="O220" i="4"/>
  <c r="H279" i="4"/>
  <c r="J279" i="4" s="1"/>
  <c r="H409" i="4"/>
  <c r="J409" i="4" s="1"/>
  <c r="O73" i="4"/>
  <c r="O157" i="4"/>
  <c r="H437" i="4"/>
  <c r="J437" i="4" s="1"/>
  <c r="H496" i="4"/>
  <c r="J496" i="4" s="1"/>
  <c r="H577" i="4"/>
  <c r="J577" i="4" s="1"/>
  <c r="O92" i="4"/>
  <c r="O125" i="4"/>
  <c r="O170" i="4"/>
  <c r="H511" i="4"/>
  <c r="J511" i="4" s="1"/>
  <c r="O131" i="4"/>
  <c r="H551" i="4"/>
  <c r="J551" i="4" s="1"/>
  <c r="O111" i="4"/>
  <c r="O189" i="4"/>
  <c r="O201" i="4"/>
  <c r="O99" i="4"/>
  <c r="O117" i="4"/>
  <c r="O195" i="4"/>
  <c r="H230" i="4"/>
  <c r="J230" i="4" s="1"/>
  <c r="H302" i="4"/>
  <c r="J302" i="4" s="1"/>
  <c r="H333" i="4"/>
  <c r="J333" i="4" s="1"/>
  <c r="L523" i="4"/>
  <c r="O80" i="4"/>
  <c r="O158" i="4"/>
  <c r="O215" i="4"/>
  <c r="O221" i="4"/>
  <c r="H235" i="4"/>
  <c r="J235" i="4" s="1"/>
  <c r="L259" i="4"/>
  <c r="H278" i="4"/>
  <c r="J278" i="4" s="1"/>
  <c r="H290" i="4"/>
  <c r="J290" i="4" s="1"/>
  <c r="H307" i="4"/>
  <c r="J307" i="4" s="1"/>
  <c r="H317" i="4"/>
  <c r="J317" i="4" s="1"/>
  <c r="H363" i="4"/>
  <c r="J363" i="4" s="1"/>
  <c r="H373" i="4"/>
  <c r="J373" i="4" s="1"/>
  <c r="H386" i="4"/>
  <c r="J386" i="4" s="1"/>
  <c r="H408" i="4"/>
  <c r="J408" i="4" s="1"/>
  <c r="H426" i="4"/>
  <c r="J426" i="4" s="1"/>
  <c r="H456" i="4"/>
  <c r="J456" i="4" s="1"/>
  <c r="H530" i="4"/>
  <c r="J530" i="4" s="1"/>
  <c r="H537" i="4"/>
  <c r="J537" i="4" s="1"/>
  <c r="H566" i="4"/>
  <c r="J566" i="4" s="1"/>
  <c r="L593" i="4"/>
  <c r="O26" i="4"/>
  <c r="O60" i="4"/>
  <c r="H285" i="4"/>
  <c r="J285" i="4" s="1"/>
  <c r="H306" i="4"/>
  <c r="J306" i="4" s="1"/>
  <c r="H320" i="4"/>
  <c r="J320" i="4" s="1"/>
  <c r="H395" i="4"/>
  <c r="J395" i="4" s="1"/>
  <c r="H500" i="4"/>
  <c r="J500" i="4" s="1"/>
  <c r="H543" i="4"/>
  <c r="J543" i="4" s="1"/>
  <c r="H553" i="4"/>
  <c r="J553" i="4" s="1"/>
  <c r="O93" i="4"/>
  <c r="O126" i="4"/>
  <c r="O138" i="4"/>
  <c r="O171" i="4"/>
  <c r="H432" i="4"/>
  <c r="J432" i="4" s="1"/>
  <c r="H445" i="4"/>
  <c r="J445" i="4" s="1"/>
  <c r="O87" i="4"/>
  <c r="O132" i="4"/>
  <c r="O165" i="4"/>
  <c r="H256" i="4"/>
  <c r="J256" i="4" s="1"/>
  <c r="H270" i="4"/>
  <c r="J270" i="4" s="1"/>
  <c r="H298" i="4"/>
  <c r="J298" i="4" s="1"/>
  <c r="H312" i="4"/>
  <c r="J312" i="4" s="1"/>
  <c r="H336" i="4"/>
  <c r="J336" i="4" s="1"/>
  <c r="H355" i="4"/>
  <c r="J355" i="4" s="1"/>
  <c r="H371" i="4"/>
  <c r="J371" i="4" s="1"/>
  <c r="H414" i="4"/>
  <c r="J414" i="4" s="1"/>
  <c r="H489" i="4"/>
  <c r="J489" i="4" s="1"/>
  <c r="H521" i="4"/>
  <c r="J521" i="4" s="1"/>
  <c r="H535" i="4"/>
  <c r="J535" i="4" s="1"/>
  <c r="H568" i="4"/>
  <c r="J568" i="4" s="1"/>
  <c r="H597" i="4"/>
  <c r="J597" i="4" s="1"/>
  <c r="O151" i="4"/>
  <c r="O178" i="4"/>
  <c r="O202" i="4"/>
  <c r="O208" i="4"/>
  <c r="H243" i="4"/>
  <c r="J243" i="4" s="1"/>
  <c r="L267" i="4"/>
  <c r="H325" i="4"/>
  <c r="J325" i="4" s="1"/>
  <c r="H413" i="4"/>
  <c r="J413" i="4" s="1"/>
  <c r="H423" i="4"/>
  <c r="J423" i="4" s="1"/>
  <c r="O184" i="4"/>
  <c r="O18" i="4"/>
  <c r="O47" i="4"/>
  <c r="O74" i="4"/>
  <c r="L507" i="4"/>
  <c r="L238" i="4"/>
  <c r="L286" i="4"/>
  <c r="L421" i="4"/>
  <c r="L440" i="4"/>
  <c r="L546" i="4"/>
  <c r="L255" i="4"/>
  <c r="L260" i="4"/>
  <c r="H271" i="4"/>
  <c r="J271" i="4" s="1"/>
  <c r="H328" i="4"/>
  <c r="J328" i="4" s="1"/>
  <c r="H347" i="4"/>
  <c r="J347" i="4" s="1"/>
  <c r="H358" i="4"/>
  <c r="J358" i="4" s="1"/>
  <c r="H366" i="4"/>
  <c r="J366" i="4" s="1"/>
  <c r="L391" i="4"/>
  <c r="H400" i="4"/>
  <c r="J400" i="4" s="1"/>
  <c r="H411" i="4"/>
  <c r="J411" i="4" s="1"/>
  <c r="L467" i="4"/>
  <c r="L365" i="4"/>
  <c r="L473" i="4"/>
  <c r="L277" i="4"/>
  <c r="H237" i="4"/>
  <c r="J237" i="4" s="1"/>
  <c r="H315" i="4"/>
  <c r="J315" i="4" s="1"/>
  <c r="H334" i="4"/>
  <c r="J334" i="4" s="1"/>
  <c r="L364" i="4"/>
  <c r="H461" i="4"/>
  <c r="J461" i="4" s="1"/>
  <c r="H534" i="4"/>
  <c r="J534" i="4" s="1"/>
  <c r="H545" i="4"/>
  <c r="J545" i="4" s="1"/>
  <c r="H562" i="4"/>
  <c r="J562" i="4" s="1"/>
  <c r="H573" i="4"/>
  <c r="J573" i="4" s="1"/>
  <c r="H251" i="4"/>
  <c r="J251" i="4" s="1"/>
  <c r="H280" i="4"/>
  <c r="J280" i="4" s="1"/>
  <c r="L444" i="4"/>
  <c r="H495" i="4"/>
  <c r="J495" i="4" s="1"/>
  <c r="H509" i="4"/>
  <c r="J509" i="4" s="1"/>
  <c r="O35" i="4"/>
  <c r="O13" i="4"/>
  <c r="O17" i="4"/>
  <c r="O10" i="4"/>
  <c r="O25" i="4"/>
  <c r="O29" i="4"/>
  <c r="O7" i="4"/>
  <c r="O22" i="4"/>
  <c r="O67" i="4"/>
  <c r="O37" i="4"/>
  <c r="O45" i="4"/>
  <c r="L24" i="4"/>
  <c r="L234" i="4"/>
  <c r="L299" i="4"/>
  <c r="L332" i="4"/>
  <c r="O102" i="4"/>
  <c r="L345" i="4"/>
  <c r="L410" i="4"/>
  <c r="L498" i="4"/>
  <c r="L353" i="4"/>
  <c r="L443" i="4"/>
  <c r="L486" i="4"/>
  <c r="L555" i="4"/>
  <c r="L266" i="4"/>
  <c r="L379" i="4"/>
  <c r="L239" i="4"/>
  <c r="H274" i="4"/>
  <c r="J274" i="4" s="1"/>
  <c r="L276" i="4"/>
  <c r="H283" i="4"/>
  <c r="J283" i="4" s="1"/>
  <c r="L338" i="4"/>
  <c r="L382" i="4"/>
  <c r="L491" i="4"/>
  <c r="L595" i="4"/>
  <c r="L603" i="4"/>
  <c r="H479" i="4"/>
  <c r="J479" i="4" s="1"/>
  <c r="H512" i="4"/>
  <c r="J512" i="4" s="1"/>
  <c r="L514" i="4"/>
  <c r="H528" i="4"/>
  <c r="J528" i="4" s="1"/>
  <c r="H601" i="4"/>
  <c r="J601" i="4" s="1"/>
  <c r="O55" i="4"/>
  <c r="H291" i="4"/>
  <c r="J291" i="4" s="1"/>
  <c r="H301" i="4"/>
  <c r="J301" i="4" s="1"/>
  <c r="H352" i="4"/>
  <c r="J352" i="4" s="1"/>
  <c r="H357" i="4"/>
  <c r="J357" i="4" s="1"/>
  <c r="H367" i="4"/>
  <c r="J367" i="4" s="1"/>
  <c r="H419" i="4"/>
  <c r="J419" i="4" s="1"/>
  <c r="H452" i="4"/>
  <c r="J452" i="4" s="1"/>
  <c r="H457" i="4"/>
  <c r="J457" i="4" s="1"/>
  <c r="H505" i="4"/>
  <c r="J505" i="4" s="1"/>
  <c r="H536" i="4"/>
  <c r="J536" i="4" s="1"/>
  <c r="H554" i="4"/>
  <c r="J554" i="4" s="1"/>
  <c r="H565" i="4"/>
  <c r="J565" i="4" s="1"/>
  <c r="H570" i="4"/>
  <c r="J570" i="4" s="1"/>
  <c r="H586" i="4"/>
  <c r="J586" i="4" s="1"/>
  <c r="O6" i="4"/>
  <c r="L388" i="4"/>
  <c r="H253" i="4"/>
  <c r="J253" i="4" s="1"/>
  <c r="H258" i="4"/>
  <c r="J258" i="4" s="1"/>
  <c r="H275" i="4"/>
  <c r="J275" i="4" s="1"/>
  <c r="L308" i="4"/>
  <c r="H350" i="4"/>
  <c r="J350" i="4" s="1"/>
  <c r="H360" i="4"/>
  <c r="J360" i="4" s="1"/>
  <c r="L404" i="4"/>
  <c r="L477" i="4"/>
  <c r="L492" i="4"/>
  <c r="H589" i="4"/>
  <c r="J589" i="4" s="1"/>
  <c r="H594" i="4"/>
  <c r="J594" i="4" s="1"/>
  <c r="H435" i="4"/>
  <c r="J435" i="4" s="1"/>
  <c r="L470" i="4"/>
  <c r="H508" i="4"/>
  <c r="J508" i="4" s="1"/>
  <c r="H513" i="4"/>
  <c r="J513" i="4" s="1"/>
  <c r="H550" i="4"/>
  <c r="J550" i="4" s="1"/>
  <c r="H584" i="4"/>
  <c r="J584" i="4" s="1"/>
  <c r="H592" i="4"/>
  <c r="J592" i="4" s="1"/>
  <c r="I5" i="2"/>
  <c r="H297" i="4"/>
  <c r="J297" i="4" s="1"/>
  <c r="L297" i="4"/>
  <c r="H497" i="4"/>
  <c r="J497" i="4" s="1"/>
  <c r="L497" i="4"/>
  <c r="H525" i="4"/>
  <c r="J525" i="4" s="1"/>
  <c r="L525" i="4"/>
  <c r="H200" i="4"/>
  <c r="K200" i="4" s="1"/>
  <c r="L224" i="4"/>
  <c r="H506" i="4"/>
  <c r="J506" i="4" s="1"/>
  <c r="L506" i="4"/>
  <c r="P207" i="4"/>
  <c r="O207" i="4"/>
  <c r="P196" i="4"/>
  <c r="H348" i="4"/>
  <c r="J348" i="4" s="1"/>
  <c r="L348" i="4"/>
  <c r="H447" i="4"/>
  <c r="J447" i="4" s="1"/>
  <c r="L447" i="4"/>
  <c r="L466" i="4"/>
  <c r="H466" i="4"/>
  <c r="J466" i="4" s="1"/>
  <c r="L567" i="4"/>
  <c r="H567" i="4"/>
  <c r="J567" i="4" s="1"/>
  <c r="L600" i="4"/>
  <c r="H600" i="4"/>
  <c r="J600" i="4" s="1"/>
  <c r="L21" i="4"/>
  <c r="AN6" i="4"/>
  <c r="AN5" i="4"/>
  <c r="H254" i="4"/>
  <c r="J254" i="4" s="1"/>
  <c r="L254" i="4"/>
  <c r="H439" i="4"/>
  <c r="J439" i="4" s="1"/>
  <c r="L439" i="4"/>
  <c r="L503" i="4"/>
  <c r="H503" i="4"/>
  <c r="J503" i="4" s="1"/>
  <c r="H522" i="4"/>
  <c r="J522" i="4" s="1"/>
  <c r="L522" i="4"/>
  <c r="H529" i="4"/>
  <c r="J529" i="4" s="1"/>
  <c r="L529" i="4"/>
  <c r="H563" i="4"/>
  <c r="J563" i="4" s="1"/>
  <c r="L563" i="4"/>
  <c r="P64" i="4"/>
  <c r="AB12" i="4"/>
  <c r="H330" i="4"/>
  <c r="J330" i="4" s="1"/>
  <c r="L330" i="4"/>
  <c r="H585" i="4"/>
  <c r="J585" i="4" s="1"/>
  <c r="L585" i="4"/>
  <c r="H214" i="4"/>
  <c r="J214" i="4" s="1"/>
  <c r="L269" i="4"/>
  <c r="H269" i="4"/>
  <c r="J269" i="4" s="1"/>
  <c r="L397" i="4"/>
  <c r="H397" i="4"/>
  <c r="J397" i="4" s="1"/>
  <c r="L424" i="4"/>
  <c r="H424" i="4"/>
  <c r="J424" i="4" s="1"/>
  <c r="H453" i="4"/>
  <c r="J453" i="4" s="1"/>
  <c r="L453" i="4"/>
  <c r="H463" i="4"/>
  <c r="J463" i="4" s="1"/>
  <c r="L463" i="4"/>
  <c r="H490" i="4"/>
  <c r="J490" i="4" s="1"/>
  <c r="L490" i="4"/>
  <c r="H571" i="4"/>
  <c r="J571" i="4" s="1"/>
  <c r="L571" i="4"/>
  <c r="H378" i="4"/>
  <c r="J378" i="4" s="1"/>
  <c r="L378" i="4"/>
  <c r="H387" i="4"/>
  <c r="J387" i="4" s="1"/>
  <c r="L387" i="4"/>
  <c r="H303" i="4"/>
  <c r="J303" i="4" s="1"/>
  <c r="L303" i="4"/>
  <c r="H327" i="4"/>
  <c r="J327" i="4" s="1"/>
  <c r="L327" i="4"/>
  <c r="H337" i="4"/>
  <c r="J337" i="4" s="1"/>
  <c r="L337" i="4"/>
  <c r="H361" i="4"/>
  <c r="J361" i="4" s="1"/>
  <c r="L361" i="4"/>
  <c r="H403" i="4"/>
  <c r="J403" i="4" s="1"/>
  <c r="L403" i="4"/>
  <c r="L450" i="4"/>
  <c r="H450" i="4"/>
  <c r="J450" i="4" s="1"/>
  <c r="L480" i="4"/>
  <c r="H480" i="4"/>
  <c r="J480" i="4" s="1"/>
  <c r="L542" i="4"/>
  <c r="H542" i="4"/>
  <c r="J542" i="4" s="1"/>
  <c r="H549" i="4"/>
  <c r="J549" i="4" s="1"/>
  <c r="L549" i="4"/>
  <c r="L591" i="4"/>
  <c r="H591" i="4"/>
  <c r="J591" i="4" s="1"/>
  <c r="L13" i="4"/>
  <c r="H51" i="4"/>
  <c r="J51" i="4" s="1"/>
  <c r="H228" i="4"/>
  <c r="J228" i="4" s="1"/>
  <c r="H232" i="4"/>
  <c r="J232" i="4" s="1"/>
  <c r="H249" i="4"/>
  <c r="J249" i="4" s="1"/>
  <c r="H257" i="4"/>
  <c r="J257" i="4" s="1"/>
  <c r="H264" i="4"/>
  <c r="J264" i="4" s="1"/>
  <c r="H296" i="4"/>
  <c r="J296" i="4" s="1"/>
  <c r="H323" i="4"/>
  <c r="J323" i="4" s="1"/>
  <c r="H339" i="4"/>
  <c r="J339" i="4" s="1"/>
  <c r="H344" i="4"/>
  <c r="J344" i="4" s="1"/>
  <c r="H399" i="4"/>
  <c r="J399" i="4" s="1"/>
  <c r="L236" i="4"/>
  <c r="L377" i="4"/>
  <c r="L381" i="4"/>
  <c r="H416" i="4"/>
  <c r="J416" i="4" s="1"/>
  <c r="H434" i="4"/>
  <c r="J434" i="4" s="1"/>
  <c r="H441" i="4"/>
  <c r="J441" i="4" s="1"/>
  <c r="H460" i="4"/>
  <c r="J460" i="4" s="1"/>
  <c r="L462" i="4"/>
  <c r="H482" i="4"/>
  <c r="J482" i="4" s="1"/>
  <c r="H538" i="4"/>
  <c r="J538" i="4" s="1"/>
  <c r="H552" i="4"/>
  <c r="J552" i="4" s="1"/>
  <c r="H561" i="4"/>
  <c r="J561" i="4" s="1"/>
  <c r="H578" i="4"/>
  <c r="J578" i="4" s="1"/>
  <c r="H581" i="4"/>
  <c r="J581" i="4" s="1"/>
  <c r="L99" i="4"/>
  <c r="L70" i="4"/>
  <c r="L340" i="4"/>
  <c r="L351" i="4"/>
  <c r="L354" i="4"/>
  <c r="L476" i="4"/>
  <c r="L493" i="4"/>
  <c r="L516" i="4"/>
  <c r="L539" i="4"/>
  <c r="L579" i="4"/>
  <c r="L602" i="4"/>
  <c r="L90" i="4"/>
  <c r="H50" i="4"/>
  <c r="K50" i="4" s="1"/>
  <c r="L244" i="4"/>
  <c r="H248" i="4"/>
  <c r="J248" i="4" s="1"/>
  <c r="L300" i="4"/>
  <c r="H313" i="4"/>
  <c r="J313" i="4" s="1"/>
  <c r="L329" i="4"/>
  <c r="H342" i="4"/>
  <c r="J342" i="4" s="1"/>
  <c r="L370" i="4"/>
  <c r="L383" i="4"/>
  <c r="H398" i="4"/>
  <c r="J398" i="4" s="1"/>
  <c r="H415" i="4"/>
  <c r="J415" i="4" s="1"/>
  <c r="H418" i="4"/>
  <c r="J418" i="4" s="1"/>
  <c r="H433" i="4"/>
  <c r="J433" i="4" s="1"/>
  <c r="L446" i="4"/>
  <c r="H459" i="4"/>
  <c r="J459" i="4" s="1"/>
  <c r="L531" i="4"/>
  <c r="L548" i="4"/>
  <c r="H394" i="4"/>
  <c r="J394" i="4" s="1"/>
  <c r="H401" i="4"/>
  <c r="J401" i="4" s="1"/>
  <c r="L405" i="4"/>
  <c r="L412" i="4"/>
  <c r="H436" i="4"/>
  <c r="J436" i="4" s="1"/>
  <c r="L475" i="4"/>
  <c r="H510" i="4"/>
  <c r="J510" i="4" s="1"/>
  <c r="L515" i="4"/>
  <c r="H526" i="4"/>
  <c r="J526" i="4" s="1"/>
  <c r="L587" i="4"/>
  <c r="L369" i="4"/>
  <c r="L533" i="4"/>
  <c r="L547" i="4"/>
  <c r="P27" i="4"/>
  <c r="H49" i="4"/>
  <c r="P60" i="4"/>
  <c r="O14" i="4"/>
  <c r="P14" i="4"/>
  <c r="P24" i="4"/>
  <c r="P40" i="4"/>
  <c r="O40" i="4"/>
  <c r="H52" i="4"/>
  <c r="P84" i="4"/>
  <c r="H56" i="4"/>
  <c r="O5" i="4"/>
  <c r="P15" i="4"/>
  <c r="P23" i="4"/>
  <c r="O23" i="4"/>
  <c r="P597" i="4"/>
  <c r="P589" i="4"/>
  <c r="P581" i="4"/>
  <c r="P573" i="4"/>
  <c r="P565" i="4"/>
  <c r="P543" i="4"/>
  <c r="P542" i="4"/>
  <c r="P503" i="4"/>
  <c r="P502" i="4"/>
  <c r="P481" i="4"/>
  <c r="P480" i="4"/>
  <c r="P465" i="4"/>
  <c r="P598" i="4"/>
  <c r="P599" i="4"/>
  <c r="P591" i="4"/>
  <c r="P583" i="4"/>
  <c r="P575" i="4"/>
  <c r="P574" i="4"/>
  <c r="P559" i="4"/>
  <c r="P558" i="4"/>
  <c r="P535" i="4"/>
  <c r="P534" i="4"/>
  <c r="P494" i="4"/>
  <c r="P544" i="4"/>
  <c r="P519" i="4"/>
  <c r="P518" i="4"/>
  <c r="P487" i="4"/>
  <c r="P485" i="4"/>
  <c r="P425" i="4"/>
  <c r="P590" i="4"/>
  <c r="P526" i="4"/>
  <c r="P501" i="4"/>
  <c r="P471" i="4"/>
  <c r="P452" i="4"/>
  <c r="P451" i="4"/>
  <c r="P430" i="4"/>
  <c r="P429" i="4"/>
  <c r="P510" i="4"/>
  <c r="P506" i="4"/>
  <c r="P415" i="4"/>
  <c r="P507" i="4"/>
  <c r="P479" i="4"/>
  <c r="P566" i="4"/>
  <c r="P486" i="4"/>
  <c r="P467" i="4"/>
  <c r="P457" i="4"/>
  <c r="P390" i="4"/>
  <c r="P367" i="4"/>
  <c r="P567" i="4"/>
  <c r="P498" i="4"/>
  <c r="P470" i="4"/>
  <c r="P466" i="4"/>
  <c r="P458" i="4"/>
  <c r="P456" i="4"/>
  <c r="P407" i="4"/>
  <c r="P554" i="4"/>
  <c r="P553" i="4"/>
  <c r="P552" i="4"/>
  <c r="P546" i="4"/>
  <c r="P435" i="4"/>
  <c r="P400" i="4"/>
  <c r="P392" i="4"/>
  <c r="P391" i="4"/>
  <c r="P375" i="4"/>
  <c r="P359" i="4"/>
  <c r="P348" i="4"/>
  <c r="P327" i="4"/>
  <c r="P287" i="4"/>
  <c r="P527" i="4"/>
  <c r="P437" i="4"/>
  <c r="P436" i="4"/>
  <c r="P263" i="4"/>
  <c r="P568" i="4"/>
  <c r="P499" i="4"/>
  <c r="P378" i="4"/>
  <c r="P377" i="4"/>
  <c r="P370" i="4"/>
  <c r="P369" i="4"/>
  <c r="P351" i="4"/>
  <c r="P340" i="4"/>
  <c r="P303" i="4"/>
  <c r="P239" i="4"/>
  <c r="P570" i="4"/>
  <c r="P419" i="4"/>
  <c r="P529" i="4"/>
  <c r="P489" i="4"/>
  <c r="P488" i="4"/>
  <c r="P464" i="4"/>
  <c r="P412" i="4"/>
  <c r="P411" i="4"/>
  <c r="P343" i="4"/>
  <c r="P332" i="4"/>
  <c r="P298" i="4"/>
  <c r="P297" i="4"/>
  <c r="P276" i="4"/>
  <c r="P275" i="4"/>
  <c r="P256" i="4"/>
  <c r="P255" i="4"/>
  <c r="P234" i="4"/>
  <c r="P478" i="4"/>
  <c r="P460" i="4"/>
  <c r="P459" i="4"/>
  <c r="P441" i="4"/>
  <c r="P414" i="4"/>
  <c r="P356" i="4"/>
  <c r="P335" i="4"/>
  <c r="P321" i="4"/>
  <c r="P320" i="4"/>
  <c r="P319" i="4"/>
  <c r="P314" i="4"/>
  <c r="P313" i="4"/>
  <c r="P292" i="4"/>
  <c r="P291" i="4"/>
  <c r="P272" i="4"/>
  <c r="P271" i="4"/>
  <c r="P250" i="4"/>
  <c r="P249" i="4"/>
  <c r="P232" i="4"/>
  <c r="P551" i="4"/>
  <c r="P550" i="4"/>
  <c r="P396" i="4"/>
  <c r="P383" i="4"/>
  <c r="P336" i="4"/>
  <c r="P312" i="4"/>
  <c r="P224" i="4"/>
  <c r="P219" i="4"/>
  <c r="P218" i="4"/>
  <c r="P217" i="4"/>
  <c r="P209" i="4"/>
  <c r="P201" i="4"/>
  <c r="P193" i="4"/>
  <c r="P469" i="4"/>
  <c r="P449" i="4"/>
  <c r="P434" i="4"/>
  <c r="P422" i="4"/>
  <c r="P345" i="4"/>
  <c r="P323" i="4"/>
  <c r="P302" i="4"/>
  <c r="P268" i="4"/>
  <c r="P216" i="4"/>
  <c r="P208" i="4"/>
  <c r="P200" i="4"/>
  <c r="P192" i="4"/>
  <c r="P184" i="4"/>
  <c r="P176" i="4"/>
  <c r="P337" i="4"/>
  <c r="P295" i="4"/>
  <c r="P273" i="4"/>
  <c r="P251" i="4"/>
  <c r="P233" i="4"/>
  <c r="P384" i="4"/>
  <c r="P324" i="4"/>
  <c r="P279" i="4"/>
  <c r="P270" i="4"/>
  <c r="P226" i="4"/>
  <c r="P582" i="4"/>
  <c r="P398" i="4"/>
  <c r="P289" i="4"/>
  <c r="P247" i="4"/>
  <c r="P181" i="4"/>
  <c r="P538" i="4"/>
  <c r="P399" i="4"/>
  <c r="P315" i="4"/>
  <c r="P252" i="4"/>
  <c r="P248" i="4"/>
  <c r="P290" i="4"/>
  <c r="P267" i="4"/>
  <c r="P238" i="4"/>
  <c r="P231" i="4"/>
  <c r="P211" i="4"/>
  <c r="P203" i="4"/>
  <c r="P195" i="4"/>
  <c r="P545" i="4"/>
  <c r="P433" i="4"/>
  <c r="P421" i="4"/>
  <c r="P382" i="4"/>
  <c r="P344" i="4"/>
  <c r="P311" i="4"/>
  <c r="P299" i="4"/>
  <c r="P254" i="4"/>
  <c r="P221" i="4"/>
  <c r="P220" i="4"/>
  <c r="P210" i="4"/>
  <c r="P202" i="4"/>
  <c r="P194" i="4"/>
  <c r="P173" i="4"/>
  <c r="P154" i="4"/>
  <c r="P170" i="4"/>
  <c r="P188" i="4"/>
  <c r="P186" i="4"/>
  <c r="P146" i="4"/>
  <c r="P178" i="4"/>
  <c r="P165" i="4"/>
  <c r="P157" i="4"/>
  <c r="P149" i="4"/>
  <c r="P136" i="4"/>
  <c r="P131" i="4"/>
  <c r="P115" i="4"/>
  <c r="P83" i="4"/>
  <c r="P56" i="4"/>
  <c r="P158" i="4"/>
  <c r="P140" i="4"/>
  <c r="P117" i="4"/>
  <c r="P96" i="4"/>
  <c r="P85" i="4"/>
  <c r="P51" i="4"/>
  <c r="P50" i="4"/>
  <c r="P49" i="4"/>
  <c r="P48" i="4"/>
  <c r="P45" i="4"/>
  <c r="P37" i="4"/>
  <c r="P29" i="4"/>
  <c r="P127" i="4"/>
  <c r="P107" i="4"/>
  <c r="P106" i="4"/>
  <c r="P47" i="4"/>
  <c r="P141" i="4"/>
  <c r="P138" i="4"/>
  <c r="P128" i="4"/>
  <c r="P120" i="4"/>
  <c r="P88" i="4"/>
  <c r="P156" i="4"/>
  <c r="P99" i="4"/>
  <c r="P151" i="4"/>
  <c r="P112" i="4"/>
  <c r="P80" i="4"/>
  <c r="P162" i="4"/>
  <c r="P124" i="4"/>
  <c r="P123" i="4"/>
  <c r="P92" i="4"/>
  <c r="P91" i="4"/>
  <c r="P75" i="4"/>
  <c r="P74" i="4"/>
  <c r="P73" i="4"/>
  <c r="P72" i="4"/>
  <c r="P69" i="4"/>
  <c r="P68" i="4"/>
  <c r="P135" i="4"/>
  <c r="P130" i="4"/>
  <c r="P103" i="4"/>
  <c r="P26" i="4"/>
  <c r="A7" i="2"/>
  <c r="P66" i="4"/>
  <c r="P42" i="4"/>
  <c r="P25" i="4"/>
  <c r="P22" i="4"/>
  <c r="P71" i="4"/>
  <c r="P43" i="4"/>
  <c r="P35" i="4"/>
  <c r="P19" i="4"/>
  <c r="P17" i="4"/>
  <c r="P11" i="4"/>
  <c r="P7" i="4"/>
  <c r="P61" i="4"/>
  <c r="P34" i="4"/>
  <c r="P104" i="4"/>
  <c r="P93" i="4"/>
  <c r="P65" i="4"/>
  <c r="P6" i="4"/>
  <c r="P18" i="4"/>
  <c r="P10" i="4"/>
  <c r="P67" i="4"/>
  <c r="P9" i="4"/>
  <c r="H11" i="4"/>
  <c r="L11" i="4"/>
  <c r="L39" i="4"/>
  <c r="P5" i="4"/>
  <c r="P8" i="4"/>
  <c r="O8" i="4"/>
  <c r="P125" i="4"/>
  <c r="AC5" i="4"/>
  <c r="P12" i="4"/>
  <c r="O12" i="4"/>
  <c r="P16" i="4"/>
  <c r="O16" i="4"/>
  <c r="H59" i="4"/>
  <c r="H63" i="4"/>
  <c r="H65" i="4"/>
  <c r="O75" i="4"/>
  <c r="O79" i="4"/>
  <c r="P79" i="4"/>
  <c r="O90" i="4"/>
  <c r="P90" i="4"/>
  <c r="H96" i="4"/>
  <c r="L96" i="4"/>
  <c r="P101" i="4"/>
  <c r="O101" i="4"/>
  <c r="H107" i="4"/>
  <c r="L107" i="4"/>
  <c r="L110" i="4"/>
  <c r="H118" i="4"/>
  <c r="L118" i="4"/>
  <c r="L126" i="4"/>
  <c r="O148" i="4"/>
  <c r="P148" i="4"/>
  <c r="O180" i="4"/>
  <c r="P180" i="4"/>
  <c r="H184" i="4"/>
  <c r="L184" i="4"/>
  <c r="AB10" i="4"/>
  <c r="AB7" i="4"/>
  <c r="H9" i="4"/>
  <c r="L9" i="4"/>
  <c r="H17" i="4"/>
  <c r="L17" i="4"/>
  <c r="H19" i="4"/>
  <c r="P21" i="4"/>
  <c r="P28" i="4"/>
  <c r="L29" i="4"/>
  <c r="H34" i="4"/>
  <c r="L34" i="4"/>
  <c r="H36" i="4"/>
  <c r="L36" i="4"/>
  <c r="P38" i="4"/>
  <c r="P39" i="4"/>
  <c r="H44" i="4"/>
  <c r="L44" i="4"/>
  <c r="H48" i="4"/>
  <c r="L48" i="4"/>
  <c r="L50" i="4"/>
  <c r="H55" i="4"/>
  <c r="H57" i="4"/>
  <c r="H5" i="4"/>
  <c r="L7" i="4"/>
  <c r="AB11" i="4"/>
  <c r="AB15" i="4"/>
  <c r="O24" i="4"/>
  <c r="P36" i="4"/>
  <c r="P44" i="4"/>
  <c r="H46" i="4"/>
  <c r="L46" i="4"/>
  <c r="P52" i="4"/>
  <c r="L55" i="4"/>
  <c r="L59" i="4"/>
  <c r="L63" i="4"/>
  <c r="L134" i="4"/>
  <c r="O142" i="4"/>
  <c r="P142" i="4"/>
  <c r="O145" i="4"/>
  <c r="P145" i="4"/>
  <c r="AB13" i="4"/>
  <c r="L227" i="4"/>
  <c r="H226" i="4"/>
  <c r="L188" i="4"/>
  <c r="L180" i="4"/>
  <c r="L172" i="4"/>
  <c r="L164" i="4"/>
  <c r="H215" i="4"/>
  <c r="L211" i="4"/>
  <c r="H207" i="4"/>
  <c r="L203" i="4"/>
  <c r="H199" i="4"/>
  <c r="L195" i="4"/>
  <c r="H191" i="4"/>
  <c r="L187" i="4"/>
  <c r="L220" i="4"/>
  <c r="H182" i="4"/>
  <c r="H213" i="4"/>
  <c r="H205" i="4"/>
  <c r="H197" i="4"/>
  <c r="H189" i="4"/>
  <c r="L161" i="4"/>
  <c r="H180" i="4"/>
  <c r="L215" i="4"/>
  <c r="H211" i="4"/>
  <c r="L207" i="4"/>
  <c r="H203" i="4"/>
  <c r="L199" i="4"/>
  <c r="H195" i="4"/>
  <c r="L191" i="4"/>
  <c r="L226" i="4"/>
  <c r="H220" i="4"/>
  <c r="H217" i="4"/>
  <c r="L213" i="4"/>
  <c r="H209" i="4"/>
  <c r="L205" i="4"/>
  <c r="H201" i="4"/>
  <c r="L197" i="4"/>
  <c r="H193" i="4"/>
  <c r="L189" i="4"/>
  <c r="L183" i="4"/>
  <c r="H145" i="4"/>
  <c r="H187" i="4"/>
  <c r="H185" i="4"/>
  <c r="L176" i="4"/>
  <c r="H172" i="4"/>
  <c r="L159" i="4"/>
  <c r="L153" i="4"/>
  <c r="L135" i="4"/>
  <c r="L127" i="4"/>
  <c r="H169" i="4"/>
  <c r="L167" i="4"/>
  <c r="H166" i="4"/>
  <c r="L146" i="4"/>
  <c r="H142" i="4"/>
  <c r="L132" i="4"/>
  <c r="L124" i="4"/>
  <c r="L116" i="4"/>
  <c r="L108" i="4"/>
  <c r="L100" i="4"/>
  <c r="L92" i="4"/>
  <c r="L84" i="4"/>
  <c r="L178" i="4"/>
  <c r="H161" i="4"/>
  <c r="H153" i="4"/>
  <c r="L151" i="4"/>
  <c r="L148" i="4"/>
  <c r="H147" i="4"/>
  <c r="L145" i="4"/>
  <c r="L112" i="4"/>
  <c r="H108" i="4"/>
  <c r="L80" i="4"/>
  <c r="L79" i="4"/>
  <c r="L78" i="4"/>
  <c r="L77" i="4"/>
  <c r="L76" i="4"/>
  <c r="H164" i="4"/>
  <c r="H138" i="4"/>
  <c r="L130" i="4"/>
  <c r="L123" i="4"/>
  <c r="H119" i="4"/>
  <c r="L103" i="4"/>
  <c r="L102" i="4"/>
  <c r="L91" i="4"/>
  <c r="H87" i="4"/>
  <c r="L75" i="4"/>
  <c r="L74" i="4"/>
  <c r="L68" i="4"/>
  <c r="L175" i="4"/>
  <c r="L173" i="4"/>
  <c r="L143" i="4"/>
  <c r="H139" i="4"/>
  <c r="H129" i="4"/>
  <c r="L125" i="4"/>
  <c r="H121" i="4"/>
  <c r="H110" i="4"/>
  <c r="H100" i="4"/>
  <c r="H99" i="4"/>
  <c r="L93" i="4"/>
  <c r="H89" i="4"/>
  <c r="L82" i="4"/>
  <c r="L60" i="4"/>
  <c r="H111" i="4"/>
  <c r="L95" i="4"/>
  <c r="L52" i="4"/>
  <c r="H177" i="4"/>
  <c r="L168" i="4"/>
  <c r="H135" i="4"/>
  <c r="H130" i="4"/>
  <c r="H124" i="4"/>
  <c r="H123" i="4"/>
  <c r="H113" i="4"/>
  <c r="H102" i="4"/>
  <c r="H92" i="4"/>
  <c r="H91" i="4"/>
  <c r="H81" i="4"/>
  <c r="H80" i="4"/>
  <c r="H79" i="4"/>
  <c r="H78" i="4"/>
  <c r="H76" i="4"/>
  <c r="H75" i="4"/>
  <c r="H74" i="4"/>
  <c r="H73" i="4"/>
  <c r="H179" i="4"/>
  <c r="H155" i="4"/>
  <c r="H149" i="4"/>
  <c r="H140" i="4"/>
  <c r="L119" i="4"/>
  <c r="H114" i="4"/>
  <c r="H103" i="4"/>
  <c r="L87" i="4"/>
  <c r="H82" i="4"/>
  <c r="H68" i="4"/>
  <c r="L38" i="4"/>
  <c r="L30" i="4"/>
  <c r="H158" i="4"/>
  <c r="L138" i="4"/>
  <c r="L133" i="4"/>
  <c r="L128" i="4"/>
  <c r="H126" i="4"/>
  <c r="L120" i="4"/>
  <c r="H116" i="4"/>
  <c r="H115" i="4"/>
  <c r="L109" i="4"/>
  <c r="H105" i="4"/>
  <c r="L98" i="4"/>
  <c r="H94" i="4"/>
  <c r="L88" i="4"/>
  <c r="H84" i="4"/>
  <c r="H83" i="4"/>
  <c r="H64" i="4"/>
  <c r="P13" i="4"/>
  <c r="L19" i="4"/>
  <c r="H20" i="4"/>
  <c r="L20" i="4"/>
  <c r="P30" i="4"/>
  <c r="O30" i="4"/>
  <c r="L31" i="4"/>
  <c r="L32" i="4"/>
  <c r="P33" i="4"/>
  <c r="O34" i="4"/>
  <c r="P57" i="4"/>
  <c r="P59" i="4"/>
  <c r="O61" i="4"/>
  <c r="L71" i="4"/>
  <c r="P76" i="4"/>
  <c r="O76" i="4"/>
  <c r="L83" i="4"/>
  <c r="O113" i="4"/>
  <c r="H132" i="4"/>
  <c r="P134" i="4"/>
  <c r="H137" i="4"/>
  <c r="P139" i="4"/>
  <c r="O139" i="4"/>
  <c r="H167" i="4"/>
  <c r="H12" i="4"/>
  <c r="L15" i="4"/>
  <c r="L22" i="4"/>
  <c r="H26" i="4"/>
  <c r="L26" i="4"/>
  <c r="P31" i="4"/>
  <c r="O33" i="4"/>
  <c r="H53" i="4"/>
  <c r="L53" i="4"/>
  <c r="L66" i="4"/>
  <c r="O68" i="4"/>
  <c r="L94" i="4"/>
  <c r="L97" i="4"/>
  <c r="H97" i="4"/>
  <c r="P108" i="4"/>
  <c r="L111" i="4"/>
  <c r="L114" i="4"/>
  <c r="P116" i="4"/>
  <c r="H127" i="4"/>
  <c r="P129" i="4"/>
  <c r="O129" i="4"/>
  <c r="L140" i="4"/>
  <c r="H10" i="4"/>
  <c r="L10" i="4"/>
  <c r="H18" i="4"/>
  <c r="L18" i="4"/>
  <c r="H21" i="4"/>
  <c r="H27" i="4"/>
  <c r="L27" i="4"/>
  <c r="P32" i="4"/>
  <c r="P41" i="4"/>
  <c r="L49" i="4"/>
  <c r="L51" i="4"/>
  <c r="P53" i="4"/>
  <c r="L56" i="4"/>
  <c r="H58" i="4"/>
  <c r="H60" i="4"/>
  <c r="H62" i="4"/>
  <c r="L64" i="4"/>
  <c r="P77" i="4"/>
  <c r="O77" i="4"/>
  <c r="H86" i="4"/>
  <c r="L86" i="4"/>
  <c r="L122" i="4"/>
  <c r="H150" i="4"/>
  <c r="L156" i="4"/>
  <c r="H156" i="4"/>
  <c r="O164" i="4"/>
  <c r="P164" i="4"/>
  <c r="AB9" i="4"/>
  <c r="AB6" i="4"/>
  <c r="L5" i="4"/>
  <c r="H8" i="4"/>
  <c r="AB8" i="4"/>
  <c r="O209" i="4"/>
  <c r="O191" i="4"/>
  <c r="O203" i="4"/>
  <c r="O19" i="4"/>
  <c r="O11" i="4"/>
  <c r="O146" i="4"/>
  <c r="O179" i="4"/>
  <c r="O48" i="4"/>
  <c r="O107" i="4"/>
  <c r="O88" i="4"/>
  <c r="L6" i="4"/>
  <c r="AB14" i="4"/>
  <c r="O15" i="4"/>
  <c r="H16" i="4"/>
  <c r="P20" i="4"/>
  <c r="O20" i="4"/>
  <c r="H28" i="4"/>
  <c r="L28" i="4"/>
  <c r="H37" i="4"/>
  <c r="L37" i="4"/>
  <c r="O41" i="4"/>
  <c r="H45" i="4"/>
  <c r="L45" i="4"/>
  <c r="H47" i="4"/>
  <c r="L47" i="4"/>
  <c r="H54" i="4"/>
  <c r="L58" i="4"/>
  <c r="L62" i="4"/>
  <c r="L72" i="4"/>
  <c r="H95" i="4"/>
  <c r="H98" i="4"/>
  <c r="H106" i="4"/>
  <c r="O122" i="4"/>
  <c r="P122" i="4"/>
  <c r="L141" i="4"/>
  <c r="H141" i="4"/>
  <c r="H144" i="4"/>
  <c r="H6" i="4"/>
  <c r="L8" i="4"/>
  <c r="L12" i="4"/>
  <c r="H13" i="4"/>
  <c r="L14" i="4"/>
  <c r="L16" i="4"/>
  <c r="L23" i="4"/>
  <c r="H24" i="4"/>
  <c r="O27" i="4"/>
  <c r="H29" i="4"/>
  <c r="L40" i="4"/>
  <c r="L54" i="4"/>
  <c r="P58" i="4"/>
  <c r="L67" i="4"/>
  <c r="P78" i="4"/>
  <c r="O78" i="4"/>
  <c r="O81" i="4"/>
  <c r="P100" i="4"/>
  <c r="L106" i="4"/>
  <c r="P109" i="4"/>
  <c r="L115" i="4"/>
  <c r="L144" i="4"/>
  <c r="H174" i="4"/>
  <c r="H85" i="4"/>
  <c r="P89" i="4"/>
  <c r="P110" i="4"/>
  <c r="H117" i="4"/>
  <c r="P121" i="4"/>
  <c r="L137" i="4"/>
  <c r="O159" i="4"/>
  <c r="O167" i="4"/>
  <c r="P167" i="4"/>
  <c r="H170" i="4"/>
  <c r="L170" i="4"/>
  <c r="L174" i="4"/>
  <c r="H190" i="4"/>
  <c r="L204" i="4"/>
  <c r="P214" i="4"/>
  <c r="H35" i="4"/>
  <c r="H43" i="4"/>
  <c r="L57" i="4"/>
  <c r="H61" i="4"/>
  <c r="H66" i="4"/>
  <c r="H67" i="4"/>
  <c r="H70" i="4"/>
  <c r="H71" i="4"/>
  <c r="H72" i="4"/>
  <c r="O89" i="4"/>
  <c r="O100" i="4"/>
  <c r="H104" i="4"/>
  <c r="L105" i="4"/>
  <c r="O110" i="4"/>
  <c r="P111" i="4"/>
  <c r="O121" i="4"/>
  <c r="H131" i="4"/>
  <c r="O133" i="4"/>
  <c r="H136" i="4"/>
  <c r="P159" i="4"/>
  <c r="L163" i="4"/>
  <c r="H163" i="4"/>
  <c r="O172" i="4"/>
  <c r="P187" i="4"/>
  <c r="H42" i="4"/>
  <c r="L65" i="4"/>
  <c r="H69" i="4"/>
  <c r="L85" i="4"/>
  <c r="P86" i="4"/>
  <c r="H93" i="4"/>
  <c r="P97" i="4"/>
  <c r="P98" i="4"/>
  <c r="O109" i="4"/>
  <c r="L117" i="4"/>
  <c r="P118" i="4"/>
  <c r="O119" i="4"/>
  <c r="H125" i="4"/>
  <c r="P133" i="4"/>
  <c r="P137" i="4"/>
  <c r="P144" i="4"/>
  <c r="O144" i="4"/>
  <c r="L149" i="4"/>
  <c r="P150" i="4"/>
  <c r="L152" i="4"/>
  <c r="H152" i="4"/>
  <c r="O153" i="4"/>
  <c r="P153" i="4"/>
  <c r="L155" i="4"/>
  <c r="H160" i="4"/>
  <c r="P172" i="4"/>
  <c r="H25" i="4"/>
  <c r="H33" i="4"/>
  <c r="O38" i="4"/>
  <c r="H41" i="4"/>
  <c r="P46" i="4"/>
  <c r="L73" i="4"/>
  <c r="H77" i="4"/>
  <c r="L81" i="4"/>
  <c r="O86" i="4"/>
  <c r="P87" i="4"/>
  <c r="H90" i="4"/>
  <c r="O97" i="4"/>
  <c r="O108" i="4"/>
  <c r="H112" i="4"/>
  <c r="L113" i="4"/>
  <c r="O118" i="4"/>
  <c r="P119" i="4"/>
  <c r="H122" i="4"/>
  <c r="O127" i="4"/>
  <c r="L131" i="4"/>
  <c r="P132" i="4"/>
  <c r="H134" i="4"/>
  <c r="L136" i="4"/>
  <c r="O137" i="4"/>
  <c r="O150" i="4"/>
  <c r="L160" i="4"/>
  <c r="P168" i="4"/>
  <c r="L171" i="4"/>
  <c r="H171" i="4"/>
  <c r="L177" i="4"/>
  <c r="P185" i="4"/>
  <c r="P191" i="4"/>
  <c r="P198" i="4"/>
  <c r="P205" i="4"/>
  <c r="L209" i="4"/>
  <c r="P212" i="4"/>
  <c r="L222" i="4"/>
  <c r="P225" i="4"/>
  <c r="H32" i="4"/>
  <c r="L35" i="4"/>
  <c r="H40" i="4"/>
  <c r="L43" i="4"/>
  <c r="P54" i="4"/>
  <c r="L61" i="4"/>
  <c r="P94" i="4"/>
  <c r="H101" i="4"/>
  <c r="L104" i="4"/>
  <c r="P105" i="4"/>
  <c r="P126" i="4"/>
  <c r="P152" i="4"/>
  <c r="O152" i="4"/>
  <c r="H154" i="4"/>
  <c r="P155" i="4"/>
  <c r="L157" i="4"/>
  <c r="H157" i="4"/>
  <c r="P160" i="4"/>
  <c r="H162" i="4"/>
  <c r="L166" i="4"/>
  <c r="P177" i="4"/>
  <c r="O177" i="4"/>
  <c r="P182" i="4"/>
  <c r="O182" i="4"/>
  <c r="H7" i="4"/>
  <c r="H15" i="4"/>
  <c r="H23" i="4"/>
  <c r="O28" i="4"/>
  <c r="H31" i="4"/>
  <c r="O36" i="4"/>
  <c r="H39" i="4"/>
  <c r="L42" i="4"/>
  <c r="O44" i="4"/>
  <c r="O52" i="4"/>
  <c r="O53" i="4"/>
  <c r="O54" i="4"/>
  <c r="P55" i="4"/>
  <c r="O57" i="4"/>
  <c r="O58" i="4"/>
  <c r="O59" i="4"/>
  <c r="P62" i="4"/>
  <c r="L69" i="4"/>
  <c r="O84" i="4"/>
  <c r="H88" i="4"/>
  <c r="L89" i="4"/>
  <c r="O94" i="4"/>
  <c r="P95" i="4"/>
  <c r="O105" i="4"/>
  <c r="O116" i="4"/>
  <c r="H120" i="4"/>
  <c r="L121" i="4"/>
  <c r="L129" i="4"/>
  <c r="L142" i="4"/>
  <c r="P143" i="4"/>
  <c r="H148" i="4"/>
  <c r="H151" i="4"/>
  <c r="L162" i="4"/>
  <c r="L169" i="4"/>
  <c r="O175" i="4"/>
  <c r="P175" i="4"/>
  <c r="H14" i="4"/>
  <c r="H22" i="4"/>
  <c r="L25" i="4"/>
  <c r="H30" i="4"/>
  <c r="L33" i="4"/>
  <c r="H38" i="4"/>
  <c r="L41" i="4"/>
  <c r="O62" i="4"/>
  <c r="P63" i="4"/>
  <c r="P70" i="4"/>
  <c r="P81" i="4"/>
  <c r="P82" i="4"/>
  <c r="L101" i="4"/>
  <c r="P102" i="4"/>
  <c r="H109" i="4"/>
  <c r="P113" i="4"/>
  <c r="P114" i="4"/>
  <c r="H128" i="4"/>
  <c r="H133" i="4"/>
  <c r="L154" i="4"/>
  <c r="H159" i="4"/>
  <c r="P183" i="4"/>
  <c r="H143" i="4"/>
  <c r="P147" i="4"/>
  <c r="P161" i="4"/>
  <c r="O161" i="4"/>
  <c r="P171" i="4"/>
  <c r="L182" i="4"/>
  <c r="L186" i="4"/>
  <c r="H186" i="4"/>
  <c r="P190" i="4"/>
  <c r="L194" i="4"/>
  <c r="P197" i="4"/>
  <c r="L201" i="4"/>
  <c r="P204" i="4"/>
  <c r="H208" i="4"/>
  <c r="L218" i="4"/>
  <c r="H173" i="4"/>
  <c r="P174" i="4"/>
  <c r="H176" i="4"/>
  <c r="H188" i="4"/>
  <c r="H198" i="4"/>
  <c r="L212" i="4"/>
  <c r="P215" i="4"/>
  <c r="H225" i="4"/>
  <c r="L139" i="4"/>
  <c r="L150" i="4"/>
  <c r="L158" i="4"/>
  <c r="P163" i="4"/>
  <c r="L179" i="4"/>
  <c r="H183" i="4"/>
  <c r="H192" i="4"/>
  <c r="L202" i="4"/>
  <c r="H206" i="4"/>
  <c r="H216" i="4"/>
  <c r="L219" i="4"/>
  <c r="H165" i="4"/>
  <c r="P166" i="4"/>
  <c r="H168" i="4"/>
  <c r="H175" i="4"/>
  <c r="H178" i="4"/>
  <c r="H181" i="4"/>
  <c r="L185" i="4"/>
  <c r="P199" i="4"/>
  <c r="P206" i="4"/>
  <c r="L210" i="4"/>
  <c r="P213" i="4"/>
  <c r="O216" i="4"/>
  <c r="L223" i="4"/>
  <c r="H146" i="4"/>
  <c r="L147" i="4"/>
  <c r="L165" i="4"/>
  <c r="O166" i="4"/>
  <c r="P169" i="4"/>
  <c r="O169" i="4"/>
  <c r="P179" i="4"/>
  <c r="L181" i="4"/>
  <c r="P189" i="4"/>
  <c r="L193" i="4"/>
  <c r="L196" i="4"/>
  <c r="L217" i="4"/>
  <c r="H241" i="4"/>
  <c r="J241" i="4" s="1"/>
  <c r="L241" i="4"/>
  <c r="P242" i="4"/>
  <c r="O242" i="4"/>
  <c r="H262" i="4"/>
  <c r="J262" i="4" s="1"/>
  <c r="L262" i="4"/>
  <c r="P282" i="4"/>
  <c r="P283" i="4"/>
  <c r="O283" i="4"/>
  <c r="L289" i="4"/>
  <c r="H289" i="4"/>
  <c r="J289" i="4" s="1"/>
  <c r="L304" i="4"/>
  <c r="H304" i="4"/>
  <c r="J304" i="4" s="1"/>
  <c r="L310" i="4"/>
  <c r="H310" i="4"/>
  <c r="J310" i="4" s="1"/>
  <c r="L314" i="4"/>
  <c r="H314" i="4"/>
  <c r="J314" i="4" s="1"/>
  <c r="O318" i="4"/>
  <c r="P318" i="4"/>
  <c r="H324" i="4"/>
  <c r="J324" i="4" s="1"/>
  <c r="L324" i="4"/>
  <c r="H346" i="4"/>
  <c r="J346" i="4" s="1"/>
  <c r="L346" i="4"/>
  <c r="P379" i="4"/>
  <c r="P403" i="4"/>
  <c r="L481" i="4"/>
  <c r="H481" i="4"/>
  <c r="J481" i="4" s="1"/>
  <c r="H484" i="4"/>
  <c r="J484" i="4" s="1"/>
  <c r="L484" i="4"/>
  <c r="L487" i="4"/>
  <c r="H487" i="4"/>
  <c r="J487" i="4" s="1"/>
  <c r="L190" i="4"/>
  <c r="H194" i="4"/>
  <c r="O196" i="4"/>
  <c r="L198" i="4"/>
  <c r="H202" i="4"/>
  <c r="O204" i="4"/>
  <c r="L206" i="4"/>
  <c r="H210" i="4"/>
  <c r="O212" i="4"/>
  <c r="L214" i="4"/>
  <c r="H218" i="4"/>
  <c r="H219" i="4"/>
  <c r="H222" i="4"/>
  <c r="H223" i="4"/>
  <c r="H224" i="4"/>
  <c r="P227" i="4"/>
  <c r="P236" i="4"/>
  <c r="P260" i="4"/>
  <c r="P266" i="4"/>
  <c r="L293" i="4"/>
  <c r="H293" i="4"/>
  <c r="J293" i="4" s="1"/>
  <c r="L295" i="4"/>
  <c r="H295" i="4"/>
  <c r="J295" i="4" s="1"/>
  <c r="P328" i="4"/>
  <c r="O328" i="4"/>
  <c r="P372" i="4"/>
  <c r="P402" i="4"/>
  <c r="O402" i="4"/>
  <c r="P508" i="4"/>
  <c r="O508" i="4"/>
  <c r="O197" i="4"/>
  <c r="O205" i="4"/>
  <c r="H221" i="4"/>
  <c r="L225" i="4"/>
  <c r="H229" i="4"/>
  <c r="J229" i="4" s="1"/>
  <c r="L229" i="4"/>
  <c r="L233" i="4"/>
  <c r="H233" i="4"/>
  <c r="J233" i="4" s="1"/>
  <c r="P241" i="4"/>
  <c r="O241" i="4"/>
  <c r="P259" i="4"/>
  <c r="O262" i="4"/>
  <c r="P262" i="4"/>
  <c r="L273" i="4"/>
  <c r="H273" i="4"/>
  <c r="J273" i="4" s="1"/>
  <c r="P281" i="4"/>
  <c r="H284" i="4"/>
  <c r="J284" i="4" s="1"/>
  <c r="L284" i="4"/>
  <c r="P304" i="4"/>
  <c r="P308" i="4"/>
  <c r="L319" i="4"/>
  <c r="H319" i="4"/>
  <c r="J319" i="4" s="1"/>
  <c r="L341" i="4"/>
  <c r="H341" i="4"/>
  <c r="J341" i="4" s="1"/>
  <c r="L359" i="4"/>
  <c r="H359" i="4"/>
  <c r="J359" i="4" s="1"/>
  <c r="P360" i="4"/>
  <c r="P381" i="4"/>
  <c r="O381" i="4"/>
  <c r="L393" i="4"/>
  <c r="H393" i="4"/>
  <c r="J393" i="4" s="1"/>
  <c r="L428" i="4"/>
  <c r="H428" i="4"/>
  <c r="J428" i="4" s="1"/>
  <c r="O482" i="4"/>
  <c r="P482" i="4"/>
  <c r="O504" i="4"/>
  <c r="P504" i="4"/>
  <c r="L590" i="4"/>
  <c r="H590" i="4"/>
  <c r="J590" i="4" s="1"/>
  <c r="O190" i="4"/>
  <c r="L192" i="4"/>
  <c r="H196" i="4"/>
  <c r="O198" i="4"/>
  <c r="L200" i="4"/>
  <c r="H204" i="4"/>
  <c r="O206" i="4"/>
  <c r="L208" i="4"/>
  <c r="H212" i="4"/>
  <c r="O214" i="4"/>
  <c r="L216" i="4"/>
  <c r="P230" i="4"/>
  <c r="P235" i="4"/>
  <c r="L240" i="4"/>
  <c r="H240" i="4"/>
  <c r="J240" i="4" s="1"/>
  <c r="L246" i="4"/>
  <c r="H246" i="4"/>
  <c r="J246" i="4" s="1"/>
  <c r="L250" i="4"/>
  <c r="H250" i="4"/>
  <c r="J250" i="4" s="1"/>
  <c r="P258" i="4"/>
  <c r="H268" i="4"/>
  <c r="J268" i="4" s="1"/>
  <c r="L268" i="4"/>
  <c r="P274" i="4"/>
  <c r="P280" i="4"/>
  <c r="P293" i="4"/>
  <c r="O293" i="4"/>
  <c r="P296" i="4"/>
  <c r="L322" i="4"/>
  <c r="H322" i="4"/>
  <c r="J322" i="4" s="1"/>
  <c r="O342" i="4"/>
  <c r="P342" i="4"/>
  <c r="L349" i="4"/>
  <c r="H349" i="4"/>
  <c r="J349" i="4" s="1"/>
  <c r="L362" i="4"/>
  <c r="L376" i="4"/>
  <c r="H376" i="4"/>
  <c r="J376" i="4" s="1"/>
  <c r="P388" i="4"/>
  <c r="O388" i="4"/>
  <c r="P405" i="4"/>
  <c r="O405" i="4"/>
  <c r="H438" i="4"/>
  <c r="J438" i="4" s="1"/>
  <c r="L438" i="4"/>
  <c r="O537" i="4"/>
  <c r="P537" i="4"/>
  <c r="L575" i="4"/>
  <c r="H575" i="4"/>
  <c r="J575" i="4" s="1"/>
  <c r="P585" i="4"/>
  <c r="O585" i="4"/>
  <c r="P588" i="4"/>
  <c r="O183" i="4"/>
  <c r="O225" i="4"/>
  <c r="P229" i="4"/>
  <c r="O229" i="4"/>
  <c r="P257" i="4"/>
  <c r="H261" i="4"/>
  <c r="J261" i="4" s="1"/>
  <c r="L261" i="4"/>
  <c r="H263" i="4"/>
  <c r="J263" i="4" s="1"/>
  <c r="L263" i="4"/>
  <c r="P265" i="4"/>
  <c r="O278" i="4"/>
  <c r="P278" i="4"/>
  <c r="P284" i="4"/>
  <c r="O284" i="4"/>
  <c r="L288" i="4"/>
  <c r="H288" i="4"/>
  <c r="J288" i="4" s="1"/>
  <c r="P307" i="4"/>
  <c r="L309" i="4"/>
  <c r="H309" i="4"/>
  <c r="J309" i="4" s="1"/>
  <c r="L311" i="4"/>
  <c r="H311" i="4"/>
  <c r="J311" i="4" s="1"/>
  <c r="H316" i="4"/>
  <c r="J316" i="4" s="1"/>
  <c r="L316" i="4"/>
  <c r="P317" i="4"/>
  <c r="O317" i="4"/>
  <c r="L326" i="4"/>
  <c r="H326" i="4"/>
  <c r="J326" i="4" s="1"/>
  <c r="O334" i="4"/>
  <c r="P334" i="4"/>
  <c r="O350" i="4"/>
  <c r="P350" i="4"/>
  <c r="P353" i="4"/>
  <c r="O353" i="4"/>
  <c r="P362" i="4"/>
  <c r="O366" i="4"/>
  <c r="P366" i="4"/>
  <c r="H472" i="4"/>
  <c r="J472" i="4" s="1"/>
  <c r="L472" i="4"/>
  <c r="L221" i="4"/>
  <c r="P240" i="4"/>
  <c r="P244" i="4"/>
  <c r="P264" i="4"/>
  <c r="O264" i="4"/>
  <c r="L272" i="4"/>
  <c r="H272" i="4"/>
  <c r="J272" i="4" s="1"/>
  <c r="L294" i="4"/>
  <c r="H294" i="4"/>
  <c r="J294" i="4" s="1"/>
  <c r="H305" i="4"/>
  <c r="J305" i="4" s="1"/>
  <c r="L305" i="4"/>
  <c r="P306" i="4"/>
  <c r="O306" i="4"/>
  <c r="L368" i="4"/>
  <c r="H368" i="4"/>
  <c r="J368" i="4" s="1"/>
  <c r="P380" i="4"/>
  <c r="O380" i="4"/>
  <c r="L392" i="4"/>
  <c r="H392" i="4"/>
  <c r="J392" i="4" s="1"/>
  <c r="P401" i="4"/>
  <c r="L417" i="4"/>
  <c r="H417" i="4"/>
  <c r="J417" i="4" s="1"/>
  <c r="P438" i="4"/>
  <c r="L451" i="4"/>
  <c r="H451" i="4"/>
  <c r="J451" i="4" s="1"/>
  <c r="P462" i="4"/>
  <c r="L468" i="4"/>
  <c r="H468" i="4"/>
  <c r="J468" i="4" s="1"/>
  <c r="O477" i="4"/>
  <c r="P477" i="4"/>
  <c r="O185" i="4"/>
  <c r="P222" i="4"/>
  <c r="H227" i="4"/>
  <c r="L231" i="4"/>
  <c r="H231" i="4"/>
  <c r="J231" i="4" s="1"/>
  <c r="P261" i="4"/>
  <c r="O261" i="4"/>
  <c r="P277" i="4"/>
  <c r="O277" i="4"/>
  <c r="P288" i="4"/>
  <c r="P300" i="4"/>
  <c r="L318" i="4"/>
  <c r="H318" i="4"/>
  <c r="J318" i="4" s="1"/>
  <c r="P329" i="4"/>
  <c r="O329" i="4"/>
  <c r="L335" i="4"/>
  <c r="H335" i="4"/>
  <c r="J335" i="4" s="1"/>
  <c r="L375" i="4"/>
  <c r="H375" i="4"/>
  <c r="J375" i="4" s="1"/>
  <c r="H385" i="4"/>
  <c r="J385" i="4" s="1"/>
  <c r="L385" i="4"/>
  <c r="P404" i="4"/>
  <c r="P410" i="4"/>
  <c r="O410" i="4"/>
  <c r="H427" i="4"/>
  <c r="J427" i="4" s="1"/>
  <c r="L427" i="4"/>
  <c r="O222" i="4"/>
  <c r="P223" i="4"/>
  <c r="P228" i="4"/>
  <c r="P243" i="4"/>
  <c r="L245" i="4"/>
  <c r="H245" i="4"/>
  <c r="J245" i="4" s="1"/>
  <c r="L247" i="4"/>
  <c r="H247" i="4"/>
  <c r="J247" i="4" s="1"/>
  <c r="H252" i="4"/>
  <c r="J252" i="4" s="1"/>
  <c r="L252" i="4"/>
  <c r="L282" i="4"/>
  <c r="O294" i="4"/>
  <c r="P294" i="4"/>
  <c r="P305" i="4"/>
  <c r="O305" i="4"/>
  <c r="P316" i="4"/>
  <c r="P352" i="4"/>
  <c r="O352" i="4"/>
  <c r="P361" i="4"/>
  <c r="O406" i="4"/>
  <c r="P406" i="4"/>
  <c r="O420" i="4"/>
  <c r="P420" i="4"/>
  <c r="O468" i="4"/>
  <c r="P468" i="4"/>
  <c r="P549" i="4"/>
  <c r="P253" i="4"/>
  <c r="P333" i="4"/>
  <c r="P354" i="4"/>
  <c r="P355" i="4"/>
  <c r="O355" i="4"/>
  <c r="P364" i="4"/>
  <c r="P365" i="4"/>
  <c r="O365" i="4"/>
  <c r="P373" i="4"/>
  <c r="O373" i="4"/>
  <c r="P444" i="4"/>
  <c r="O444" i="4"/>
  <c r="O448" i="4"/>
  <c r="P448" i="4"/>
  <c r="P490" i="4"/>
  <c r="P512" i="4"/>
  <c r="P576" i="4"/>
  <c r="O576" i="4"/>
  <c r="P237" i="4"/>
  <c r="P301" i="4"/>
  <c r="P330" i="4"/>
  <c r="P331" i="4"/>
  <c r="O331" i="4"/>
  <c r="P341" i="4"/>
  <c r="P363" i="4"/>
  <c r="P394" i="4"/>
  <c r="L431" i="4"/>
  <c r="H431" i="4"/>
  <c r="J431" i="4" s="1"/>
  <c r="O432" i="4"/>
  <c r="P432" i="4"/>
  <c r="L442" i="4"/>
  <c r="H442" i="4"/>
  <c r="J442" i="4" s="1"/>
  <c r="P443" i="4"/>
  <c r="O443" i="4"/>
  <c r="H449" i="4"/>
  <c r="J449" i="4" s="1"/>
  <c r="L449" i="4"/>
  <c r="H454" i="4"/>
  <c r="J454" i="4" s="1"/>
  <c r="L454" i="4"/>
  <c r="O493" i="4"/>
  <c r="P493" i="4"/>
  <c r="L502" i="4"/>
  <c r="H502" i="4"/>
  <c r="J502" i="4" s="1"/>
  <c r="P511" i="4"/>
  <c r="O569" i="4"/>
  <c r="P569" i="4"/>
  <c r="P579" i="4"/>
  <c r="O579" i="4"/>
  <c r="O362" i="4"/>
  <c r="O363" i="4"/>
  <c r="P371" i="4"/>
  <c r="O379" i="4"/>
  <c r="L384" i="4"/>
  <c r="H384" i="4"/>
  <c r="J384" i="4" s="1"/>
  <c r="P386" i="4"/>
  <c r="P387" i="4"/>
  <c r="O387" i="4"/>
  <c r="P395" i="4"/>
  <c r="O403" i="4"/>
  <c r="O404" i="4"/>
  <c r="P418" i="4"/>
  <c r="H422" i="4"/>
  <c r="J422" i="4" s="1"/>
  <c r="L422" i="4"/>
  <c r="P424" i="4"/>
  <c r="P447" i="4"/>
  <c r="O447" i="4"/>
  <c r="P476" i="4"/>
  <c r="O476" i="4"/>
  <c r="H478" i="4"/>
  <c r="J478" i="4" s="1"/>
  <c r="L478" i="4"/>
  <c r="L519" i="4"/>
  <c r="H519" i="4"/>
  <c r="J519" i="4" s="1"/>
  <c r="P520" i="4"/>
  <c r="O520" i="4"/>
  <c r="P528" i="4"/>
  <c r="P536" i="4"/>
  <c r="P540" i="4"/>
  <c r="O540" i="4"/>
  <c r="H572" i="4"/>
  <c r="J572" i="4" s="1"/>
  <c r="L572" i="4"/>
  <c r="L583" i="4"/>
  <c r="H583" i="4"/>
  <c r="J583" i="4" s="1"/>
  <c r="P584" i="4"/>
  <c r="O584" i="4"/>
  <c r="P285" i="4"/>
  <c r="P338" i="4"/>
  <c r="P339" i="4"/>
  <c r="O339" i="4"/>
  <c r="P349" i="4"/>
  <c r="O360" i="4"/>
  <c r="O361" i="4"/>
  <c r="P368" i="4"/>
  <c r="O368" i="4"/>
  <c r="P376" i="4"/>
  <c r="P385" i="4"/>
  <c r="O386" i="4"/>
  <c r="P393" i="4"/>
  <c r="O401" i="4"/>
  <c r="L407" i="4"/>
  <c r="P408" i="4"/>
  <c r="P409" i="4"/>
  <c r="O409" i="4"/>
  <c r="P423" i="4"/>
  <c r="P442" i="4"/>
  <c r="P463" i="4"/>
  <c r="H465" i="4"/>
  <c r="J465" i="4" s="1"/>
  <c r="H501" i="4"/>
  <c r="J501" i="4" s="1"/>
  <c r="P514" i="4"/>
  <c r="L574" i="4"/>
  <c r="H574" i="4"/>
  <c r="J574" i="4" s="1"/>
  <c r="O243" i="4"/>
  <c r="O244" i="4"/>
  <c r="P245" i="4"/>
  <c r="O265" i="4"/>
  <c r="O266" i="4"/>
  <c r="O285" i="4"/>
  <c r="P286" i="4"/>
  <c r="O288" i="4"/>
  <c r="L292" i="4"/>
  <c r="O307" i="4"/>
  <c r="O308" i="4"/>
  <c r="P309" i="4"/>
  <c r="L321" i="4"/>
  <c r="P325" i="4"/>
  <c r="O338" i="4"/>
  <c r="L356" i="4"/>
  <c r="O385" i="4"/>
  <c r="L390" i="4"/>
  <c r="H396" i="4"/>
  <c r="J396" i="4" s="1"/>
  <c r="L396" i="4"/>
  <c r="O408" i="4"/>
  <c r="P416" i="4"/>
  <c r="P417" i="4"/>
  <c r="H420" i="4"/>
  <c r="J420" i="4" s="1"/>
  <c r="L420" i="4"/>
  <c r="O423" i="4"/>
  <c r="P431" i="4"/>
  <c r="O431" i="4"/>
  <c r="O454" i="4"/>
  <c r="P454" i="4"/>
  <c r="O483" i="4"/>
  <c r="P483" i="4"/>
  <c r="H485" i="4"/>
  <c r="J485" i="4" s="1"/>
  <c r="L485" i="4"/>
  <c r="L518" i="4"/>
  <c r="H518" i="4"/>
  <c r="J518" i="4" s="1"/>
  <c r="P523" i="4"/>
  <c r="O523" i="4"/>
  <c r="P572" i="4"/>
  <c r="O572" i="4"/>
  <c r="O245" i="4"/>
  <c r="P246" i="4"/>
  <c r="P269" i="4"/>
  <c r="O309" i="4"/>
  <c r="P310" i="4"/>
  <c r="P322" i="4"/>
  <c r="O325" i="4"/>
  <c r="P326" i="4"/>
  <c r="P346" i="4"/>
  <c r="P347" i="4"/>
  <c r="O347" i="4"/>
  <c r="P357" i="4"/>
  <c r="P358" i="4"/>
  <c r="H372" i="4"/>
  <c r="J372" i="4" s="1"/>
  <c r="L372" i="4"/>
  <c r="O374" i="4"/>
  <c r="P374" i="4"/>
  <c r="L389" i="4"/>
  <c r="L406" i="4"/>
  <c r="L430" i="4"/>
  <c r="P446" i="4"/>
  <c r="O446" i="4"/>
  <c r="L458" i="4"/>
  <c r="H458" i="4"/>
  <c r="J458" i="4" s="1"/>
  <c r="P461" i="4"/>
  <c r="O509" i="4"/>
  <c r="P509" i="4"/>
  <c r="P513" i="4"/>
  <c r="L544" i="4"/>
  <c r="H544" i="4"/>
  <c r="J544" i="4" s="1"/>
  <c r="H556" i="4"/>
  <c r="J556" i="4" s="1"/>
  <c r="L556" i="4"/>
  <c r="P389" i="4"/>
  <c r="H402" i="4"/>
  <c r="J402" i="4" s="1"/>
  <c r="P445" i="4"/>
  <c r="P475" i="4"/>
  <c r="O475" i="4"/>
  <c r="P497" i="4"/>
  <c r="O497" i="4"/>
  <c r="P515" i="4"/>
  <c r="H517" i="4"/>
  <c r="J517" i="4" s="1"/>
  <c r="P522" i="4"/>
  <c r="O522" i="4"/>
  <c r="P531" i="4"/>
  <c r="O531" i="4"/>
  <c r="L557" i="4"/>
  <c r="H557" i="4"/>
  <c r="J557" i="4" s="1"/>
  <c r="P562" i="4"/>
  <c r="P413" i="4"/>
  <c r="H464" i="4"/>
  <c r="J464" i="4" s="1"/>
  <c r="L464" i="4"/>
  <c r="H483" i="4"/>
  <c r="J483" i="4" s="1"/>
  <c r="L483" i="4"/>
  <c r="L488" i="4"/>
  <c r="H488" i="4"/>
  <c r="J488" i="4" s="1"/>
  <c r="P492" i="4"/>
  <c r="L504" i="4"/>
  <c r="H504" i="4"/>
  <c r="J504" i="4" s="1"/>
  <c r="L560" i="4"/>
  <c r="H560" i="4"/>
  <c r="J560" i="4" s="1"/>
  <c r="P561" i="4"/>
  <c r="O561" i="4"/>
  <c r="L582" i="4"/>
  <c r="H582" i="4"/>
  <c r="J582" i="4" s="1"/>
  <c r="P587" i="4"/>
  <c r="O587" i="4"/>
  <c r="P593" i="4"/>
  <c r="O593" i="4"/>
  <c r="P596" i="4"/>
  <c r="P602" i="4"/>
  <c r="O602" i="4"/>
  <c r="P428" i="4"/>
  <c r="O438" i="4"/>
  <c r="P439" i="4"/>
  <c r="P453" i="4"/>
  <c r="L471" i="4"/>
  <c r="H471" i="4"/>
  <c r="J471" i="4" s="1"/>
  <c r="P473" i="4"/>
  <c r="O492" i="4"/>
  <c r="H494" i="4"/>
  <c r="J494" i="4" s="1"/>
  <c r="L494" i="4"/>
  <c r="H499" i="4"/>
  <c r="J499" i="4" s="1"/>
  <c r="L499" i="4"/>
  <c r="O511" i="4"/>
  <c r="O512" i="4"/>
  <c r="O513" i="4"/>
  <c r="O514" i="4"/>
  <c r="L520" i="4"/>
  <c r="H520" i="4"/>
  <c r="J520" i="4" s="1"/>
  <c r="P521" i="4"/>
  <c r="O521" i="4"/>
  <c r="L524" i="4"/>
  <c r="P525" i="4"/>
  <c r="H532" i="4"/>
  <c r="J532" i="4" s="1"/>
  <c r="L532" i="4"/>
  <c r="L564" i="4"/>
  <c r="L576" i="4"/>
  <c r="H576" i="4"/>
  <c r="J576" i="4" s="1"/>
  <c r="P577" i="4"/>
  <c r="O577" i="4"/>
  <c r="P580" i="4"/>
  <c r="L380" i="4"/>
  <c r="P397" i="4"/>
  <c r="P426" i="4"/>
  <c r="P427" i="4"/>
  <c r="O439" i="4"/>
  <c r="P440" i="4"/>
  <c r="L448" i="4"/>
  <c r="P450" i="4"/>
  <c r="P472" i="4"/>
  <c r="P491" i="4"/>
  <c r="P505" i="4"/>
  <c r="P524" i="4"/>
  <c r="O524" i="4"/>
  <c r="P530" i="4"/>
  <c r="P539" i="4"/>
  <c r="O539" i="4"/>
  <c r="L541" i="4"/>
  <c r="P592" i="4"/>
  <c r="O592" i="4"/>
  <c r="H599" i="4"/>
  <c r="J599" i="4" s="1"/>
  <c r="P455" i="4"/>
  <c r="H598" i="4"/>
  <c r="J598" i="4" s="1"/>
  <c r="P600" i="4"/>
  <c r="O600" i="4"/>
  <c r="P603" i="4"/>
  <c r="O603" i="4"/>
  <c r="H604" i="4"/>
  <c r="J604" i="4" s="1"/>
  <c r="L604" i="4"/>
  <c r="L559" i="4"/>
  <c r="H559" i="4"/>
  <c r="J559" i="4" s="1"/>
  <c r="P560" i="4"/>
  <c r="O560" i="4"/>
  <c r="P564" i="4"/>
  <c r="O564" i="4"/>
  <c r="P595" i="4"/>
  <c r="O595" i="4"/>
  <c r="P474" i="4"/>
  <c r="P495" i="4"/>
  <c r="P496" i="4"/>
  <c r="O496" i="4"/>
  <c r="P517" i="4"/>
  <c r="P556" i="4"/>
  <c r="O556" i="4"/>
  <c r="L558" i="4"/>
  <c r="H558" i="4"/>
  <c r="J558" i="4" s="1"/>
  <c r="P601" i="4"/>
  <c r="O601" i="4"/>
  <c r="P548" i="4"/>
  <c r="O548" i="4"/>
  <c r="P563" i="4"/>
  <c r="P578" i="4"/>
  <c r="P586" i="4"/>
  <c r="P594" i="4"/>
  <c r="P533" i="4"/>
  <c r="P547" i="4"/>
  <c r="O562" i="4"/>
  <c r="O563" i="4"/>
  <c r="O578" i="4"/>
  <c r="O586" i="4"/>
  <c r="O594" i="4"/>
  <c r="P500" i="4"/>
  <c r="P532" i="4"/>
  <c r="O532" i="4"/>
  <c r="O547" i="4"/>
  <c r="P557" i="4"/>
  <c r="P604" i="4"/>
  <c r="P484" i="4"/>
  <c r="P516" i="4"/>
  <c r="O516" i="4"/>
  <c r="L540" i="4"/>
  <c r="P541" i="4"/>
  <c r="P555" i="4"/>
  <c r="P571" i="4"/>
  <c r="L580" i="4"/>
  <c r="L588" i="4"/>
  <c r="L596" i="4"/>
  <c r="O580" i="4"/>
  <c r="O588" i="4"/>
  <c r="O596" i="4"/>
  <c r="O604" i="4"/>
  <c r="O517" i="4"/>
  <c r="O525" i="4"/>
  <c r="O533" i="4"/>
  <c r="O541" i="4"/>
  <c r="O549" i="4"/>
  <c r="O557" i="4"/>
  <c r="AC43" i="4" l="1"/>
  <c r="J50" i="4"/>
  <c r="J200" i="4"/>
  <c r="AA28" i="4"/>
  <c r="K214" i="4"/>
  <c r="AA42" i="4"/>
  <c r="K51" i="4"/>
  <c r="Y20" i="4"/>
  <c r="Y13" i="4"/>
  <c r="Y12" i="4"/>
  <c r="K162" i="4"/>
  <c r="J162" i="4"/>
  <c r="K173" i="4"/>
  <c r="J173" i="4"/>
  <c r="J168" i="4"/>
  <c r="K168" i="4"/>
  <c r="K148" i="4"/>
  <c r="J148" i="4"/>
  <c r="J39" i="4"/>
  <c r="K39" i="4"/>
  <c r="J171" i="4"/>
  <c r="K171" i="4"/>
  <c r="K70" i="4"/>
  <c r="J70" i="4"/>
  <c r="W19" i="4"/>
  <c r="W9" i="4"/>
  <c r="K54" i="4"/>
  <c r="J54" i="4"/>
  <c r="W34" i="4"/>
  <c r="K16" i="4"/>
  <c r="J16" i="4"/>
  <c r="Y36" i="4"/>
  <c r="AA44" i="4"/>
  <c r="Y34" i="4"/>
  <c r="W32" i="4"/>
  <c r="W7" i="4"/>
  <c r="AA25" i="4"/>
  <c r="AA8" i="4"/>
  <c r="AA24" i="4"/>
  <c r="W24" i="4"/>
  <c r="K10" i="4"/>
  <c r="J10" i="4"/>
  <c r="W44" i="4"/>
  <c r="AA12" i="4"/>
  <c r="Y38" i="4"/>
  <c r="W28" i="4"/>
  <c r="K64" i="4"/>
  <c r="J64" i="4"/>
  <c r="J115" i="4"/>
  <c r="K115" i="4"/>
  <c r="K140" i="4"/>
  <c r="J140" i="4"/>
  <c r="K78" i="4"/>
  <c r="J78" i="4"/>
  <c r="J123" i="4"/>
  <c r="K123" i="4"/>
  <c r="K111" i="4"/>
  <c r="J111" i="4"/>
  <c r="J121" i="4"/>
  <c r="K121" i="4"/>
  <c r="K108" i="4"/>
  <c r="J108" i="4"/>
  <c r="K142" i="4"/>
  <c r="J142" i="4"/>
  <c r="K193" i="4"/>
  <c r="J193" i="4"/>
  <c r="K180" i="4"/>
  <c r="J180" i="4"/>
  <c r="AA20" i="4"/>
  <c r="K55" i="4"/>
  <c r="J55" i="4"/>
  <c r="K63" i="4"/>
  <c r="J63" i="4"/>
  <c r="AC41" i="4"/>
  <c r="AC31" i="4"/>
  <c r="AC44" i="4"/>
  <c r="AC26" i="4"/>
  <c r="K52" i="4"/>
  <c r="J52" i="4"/>
  <c r="K194" i="4"/>
  <c r="J194" i="4"/>
  <c r="J198" i="4"/>
  <c r="K198" i="4"/>
  <c r="K128" i="4"/>
  <c r="J128" i="4"/>
  <c r="K22" i="4"/>
  <c r="J22" i="4"/>
  <c r="J154" i="4"/>
  <c r="K154" i="4"/>
  <c r="K41" i="4"/>
  <c r="J41" i="4"/>
  <c r="K93" i="4"/>
  <c r="J93" i="4"/>
  <c r="J163" i="4"/>
  <c r="K163" i="4"/>
  <c r="J67" i="4"/>
  <c r="K67" i="4"/>
  <c r="J190" i="4"/>
  <c r="K190" i="4"/>
  <c r="W17" i="4"/>
  <c r="AA30" i="4"/>
  <c r="AA37" i="4"/>
  <c r="AA35" i="4"/>
  <c r="Y33" i="4"/>
  <c r="Y8" i="4"/>
  <c r="W31" i="4"/>
  <c r="W30" i="4"/>
  <c r="Y21" i="4"/>
  <c r="K97" i="4"/>
  <c r="J97" i="4"/>
  <c r="AA39" i="4"/>
  <c r="K26" i="4"/>
  <c r="J26" i="4"/>
  <c r="K12" i="4"/>
  <c r="J12" i="4"/>
  <c r="W37" i="4"/>
  <c r="Y27" i="4"/>
  <c r="J83" i="4"/>
  <c r="K83" i="4"/>
  <c r="K116" i="4"/>
  <c r="J116" i="4"/>
  <c r="J149" i="4"/>
  <c r="K149" i="4"/>
  <c r="K79" i="4"/>
  <c r="J79" i="4"/>
  <c r="K124" i="4"/>
  <c r="J124" i="4"/>
  <c r="K138" i="4"/>
  <c r="J138" i="4"/>
  <c r="K172" i="4"/>
  <c r="J172" i="4"/>
  <c r="K191" i="4"/>
  <c r="J191" i="4"/>
  <c r="K36" i="4"/>
  <c r="J36" i="4"/>
  <c r="K96" i="4"/>
  <c r="J96" i="4"/>
  <c r="J59" i="4"/>
  <c r="K59" i="4"/>
  <c r="AC7" i="4"/>
  <c r="AC23" i="4"/>
  <c r="AC39" i="4"/>
  <c r="AC11" i="4"/>
  <c r="AC34" i="4"/>
  <c r="K212" i="4"/>
  <c r="J212" i="4"/>
  <c r="K186" i="4"/>
  <c r="J186" i="4"/>
  <c r="K218" i="4"/>
  <c r="J218" i="4"/>
  <c r="K133" i="4"/>
  <c r="J133" i="4"/>
  <c r="K188" i="4"/>
  <c r="J188" i="4"/>
  <c r="J31" i="4"/>
  <c r="K31" i="4"/>
  <c r="K90" i="4"/>
  <c r="J90" i="4"/>
  <c r="K125" i="4"/>
  <c r="J125" i="4"/>
  <c r="K66" i="4"/>
  <c r="J66" i="4"/>
  <c r="K117" i="4"/>
  <c r="J117" i="4"/>
  <c r="Y7" i="4"/>
  <c r="K106" i="4"/>
  <c r="J106" i="4"/>
  <c r="K47" i="4"/>
  <c r="J47" i="4"/>
  <c r="Y29" i="4"/>
  <c r="W43" i="4"/>
  <c r="Y18" i="4"/>
  <c r="W41" i="4"/>
  <c r="AA34" i="4"/>
  <c r="AA9" i="4"/>
  <c r="Y32" i="4"/>
  <c r="W14" i="4"/>
  <c r="Y31" i="4"/>
  <c r="K156" i="4"/>
  <c r="J156" i="4"/>
  <c r="K21" i="4"/>
  <c r="J21" i="4"/>
  <c r="AA38" i="4"/>
  <c r="K167" i="4"/>
  <c r="J167" i="4"/>
  <c r="AA23" i="4"/>
  <c r="K84" i="4"/>
  <c r="J84" i="4"/>
  <c r="K68" i="4"/>
  <c r="J68" i="4"/>
  <c r="J155" i="4"/>
  <c r="K155" i="4"/>
  <c r="K80" i="4"/>
  <c r="J80" i="4"/>
  <c r="K130" i="4"/>
  <c r="J130" i="4"/>
  <c r="J129" i="4"/>
  <c r="K129" i="4"/>
  <c r="K87" i="4"/>
  <c r="J87" i="4"/>
  <c r="K164" i="4"/>
  <c r="J164" i="4"/>
  <c r="J166" i="4"/>
  <c r="K166" i="4"/>
  <c r="K201" i="4"/>
  <c r="J201" i="4"/>
  <c r="K195" i="4"/>
  <c r="J195" i="4"/>
  <c r="K189" i="4"/>
  <c r="J189" i="4"/>
  <c r="W12" i="4"/>
  <c r="K19" i="4"/>
  <c r="J19" i="4"/>
  <c r="J118" i="4"/>
  <c r="K118" i="4"/>
  <c r="AC13" i="4"/>
  <c r="AC8" i="4"/>
  <c r="AC38" i="4"/>
  <c r="AC19" i="4"/>
  <c r="AC42" i="4"/>
  <c r="AE43" i="4"/>
  <c r="AE35" i="4"/>
  <c r="AE27" i="4"/>
  <c r="AE19" i="4"/>
  <c r="AE11" i="4"/>
  <c r="AE44" i="4"/>
  <c r="AE36" i="4"/>
  <c r="AE28" i="4"/>
  <c r="AE20" i="4"/>
  <c r="AE12" i="4"/>
  <c r="AE37" i="4"/>
  <c r="AE29" i="4"/>
  <c r="AE38" i="4"/>
  <c r="AE30" i="4"/>
  <c r="AE22" i="4"/>
  <c r="AE39" i="4"/>
  <c r="AE40" i="4"/>
  <c r="AE32" i="4"/>
  <c r="AE18" i="4"/>
  <c r="AE16" i="4"/>
  <c r="AE8" i="4"/>
  <c r="AE23" i="4"/>
  <c r="AE10" i="4"/>
  <c r="AE5" i="4"/>
  <c r="AE15" i="4"/>
  <c r="AE26" i="4"/>
  <c r="AE17" i="4"/>
  <c r="AE13" i="4"/>
  <c r="AE7" i="4"/>
  <c r="AE41" i="4"/>
  <c r="AE25" i="4"/>
  <c r="AE9" i="4"/>
  <c r="AE42" i="4"/>
  <c r="AE31" i="4"/>
  <c r="AE34" i="4"/>
  <c r="AE21" i="4"/>
  <c r="AE14" i="4"/>
  <c r="AE6" i="4"/>
  <c r="AE24" i="4"/>
  <c r="AE33" i="4"/>
  <c r="AA10" i="4"/>
  <c r="W6" i="4"/>
  <c r="W8" i="4"/>
  <c r="Y10" i="4"/>
  <c r="W10" i="4"/>
  <c r="AA5" i="4"/>
  <c r="AA11" i="4"/>
  <c r="AA15" i="4"/>
  <c r="Y17" i="4"/>
  <c r="AA13" i="4"/>
  <c r="W20" i="4"/>
  <c r="Y11" i="4"/>
  <c r="Y9" i="4"/>
  <c r="AA7" i="4"/>
  <c r="Y19" i="4"/>
  <c r="Y22" i="4"/>
  <c r="K49" i="4"/>
  <c r="J49" i="4"/>
  <c r="K216" i="4"/>
  <c r="J216" i="4"/>
  <c r="K146" i="4"/>
  <c r="J146" i="4"/>
  <c r="K204" i="4"/>
  <c r="J204" i="4"/>
  <c r="K183" i="4"/>
  <c r="J183" i="4"/>
  <c r="K221" i="4"/>
  <c r="J221" i="4"/>
  <c r="K165" i="4"/>
  <c r="J165" i="4"/>
  <c r="K14" i="4"/>
  <c r="J14" i="4"/>
  <c r="J152" i="4"/>
  <c r="K152" i="4"/>
  <c r="K196" i="4"/>
  <c r="J196" i="4"/>
  <c r="K210" i="4"/>
  <c r="J210" i="4"/>
  <c r="J176" i="4"/>
  <c r="K176" i="4"/>
  <c r="J88" i="4"/>
  <c r="K88" i="4"/>
  <c r="K122" i="4"/>
  <c r="J122" i="4"/>
  <c r="K33" i="4"/>
  <c r="J33" i="4"/>
  <c r="K104" i="4"/>
  <c r="J104" i="4"/>
  <c r="K61" i="4"/>
  <c r="J61" i="4"/>
  <c r="AA31" i="4"/>
  <c r="AA6" i="4"/>
  <c r="K98" i="4"/>
  <c r="J98" i="4"/>
  <c r="W13" i="4"/>
  <c r="Y44" i="4"/>
  <c r="AA19" i="4"/>
  <c r="Y42" i="4"/>
  <c r="W40" i="4"/>
  <c r="W15" i="4"/>
  <c r="AA33" i="4"/>
  <c r="Y15" i="4"/>
  <c r="AA32" i="4"/>
  <c r="K62" i="4"/>
  <c r="J62" i="4"/>
  <c r="AA18" i="4"/>
  <c r="Y37" i="4"/>
  <c r="W21" i="4"/>
  <c r="J126" i="4"/>
  <c r="K126" i="4"/>
  <c r="K82" i="4"/>
  <c r="J82" i="4"/>
  <c r="J179" i="4"/>
  <c r="K179" i="4"/>
  <c r="K81" i="4"/>
  <c r="J81" i="4"/>
  <c r="K135" i="4"/>
  <c r="J135" i="4"/>
  <c r="J89" i="4"/>
  <c r="K89" i="4"/>
  <c r="K139" i="4"/>
  <c r="J139" i="4"/>
  <c r="K147" i="4"/>
  <c r="J147" i="4"/>
  <c r="K185" i="4"/>
  <c r="J185" i="4"/>
  <c r="K197" i="4"/>
  <c r="J197" i="4"/>
  <c r="K199" i="4"/>
  <c r="J199" i="4"/>
  <c r="K46" i="4"/>
  <c r="J46" i="4"/>
  <c r="K48" i="4"/>
  <c r="J48" i="4"/>
  <c r="K34" i="4"/>
  <c r="J34" i="4"/>
  <c r="J184" i="4"/>
  <c r="K184" i="4"/>
  <c r="AC17" i="4"/>
  <c r="AC12" i="4"/>
  <c r="AC21" i="4"/>
  <c r="AC27" i="4"/>
  <c r="AC6" i="4"/>
  <c r="C1" i="1"/>
  <c r="C62" i="1"/>
  <c r="K56" i="4"/>
  <c r="J56" i="4"/>
  <c r="K143" i="4"/>
  <c r="J143" i="4"/>
  <c r="K40" i="4"/>
  <c r="J40" i="4"/>
  <c r="K25" i="4"/>
  <c r="J25" i="4"/>
  <c r="K69" i="4"/>
  <c r="J69" i="4"/>
  <c r="K136" i="4"/>
  <c r="J136" i="4"/>
  <c r="K170" i="4"/>
  <c r="J170" i="4"/>
  <c r="K29" i="4"/>
  <c r="J29" i="4"/>
  <c r="J6" i="4"/>
  <c r="K6" i="4"/>
  <c r="K95" i="4"/>
  <c r="J95" i="4"/>
  <c r="K45" i="4"/>
  <c r="J45" i="4"/>
  <c r="J28" i="4"/>
  <c r="K28" i="4"/>
  <c r="Y6" i="4"/>
  <c r="Y35" i="4"/>
  <c r="W25" i="4"/>
  <c r="AA43" i="4"/>
  <c r="Y41" i="4"/>
  <c r="Y16" i="4"/>
  <c r="W39" i="4"/>
  <c r="AA16" i="4"/>
  <c r="W38" i="4"/>
  <c r="J8" i="4"/>
  <c r="K8" i="4"/>
  <c r="K150" i="4"/>
  <c r="J150" i="4"/>
  <c r="K60" i="4"/>
  <c r="J60" i="4"/>
  <c r="W29" i="4"/>
  <c r="K127" i="4"/>
  <c r="J127" i="4"/>
  <c r="W36" i="4"/>
  <c r="W18" i="4"/>
  <c r="K20" i="4"/>
  <c r="J20" i="4"/>
  <c r="J94" i="4"/>
  <c r="K94" i="4"/>
  <c r="K73" i="4"/>
  <c r="J73" i="4"/>
  <c r="J91" i="4"/>
  <c r="K91" i="4"/>
  <c r="K169" i="4"/>
  <c r="J169" i="4"/>
  <c r="K187" i="4"/>
  <c r="J187" i="4"/>
  <c r="K209" i="4"/>
  <c r="J209" i="4"/>
  <c r="K203" i="4"/>
  <c r="J203" i="4"/>
  <c r="K205" i="4"/>
  <c r="J205" i="4"/>
  <c r="K226" i="4"/>
  <c r="J226" i="4"/>
  <c r="K17" i="4"/>
  <c r="J17" i="4"/>
  <c r="AC15" i="4"/>
  <c r="AC16" i="4"/>
  <c r="AC29" i="4"/>
  <c r="AC35" i="4"/>
  <c r="J23" i="4"/>
  <c r="K23" i="4"/>
  <c r="J206" i="4"/>
  <c r="K206" i="4"/>
  <c r="J15" i="4"/>
  <c r="K15" i="4"/>
  <c r="K13" i="4"/>
  <c r="J13" i="4"/>
  <c r="AA21" i="4"/>
  <c r="Y26" i="4"/>
  <c r="Y40" i="4"/>
  <c r="K58" i="4"/>
  <c r="J58" i="4"/>
  <c r="W16" i="4"/>
  <c r="J137" i="4"/>
  <c r="K137" i="4"/>
  <c r="K103" i="4"/>
  <c r="J103" i="4"/>
  <c r="K74" i="4"/>
  <c r="J74" i="4"/>
  <c r="K92" i="4"/>
  <c r="J92" i="4"/>
  <c r="K177" i="4"/>
  <c r="J177" i="4"/>
  <c r="J99" i="4"/>
  <c r="K99" i="4"/>
  <c r="K145" i="4"/>
  <c r="J145" i="4"/>
  <c r="K213" i="4"/>
  <c r="J213" i="4"/>
  <c r="K207" i="4"/>
  <c r="J207" i="4"/>
  <c r="W5" i="4"/>
  <c r="K44" i="4"/>
  <c r="J44" i="4"/>
  <c r="J107" i="4"/>
  <c r="K107" i="4"/>
  <c r="AC22" i="4"/>
  <c r="AC14" i="4"/>
  <c r="AC37" i="4"/>
  <c r="K11" i="4"/>
  <c r="J11" i="4"/>
  <c r="K109" i="4"/>
  <c r="J109" i="4"/>
  <c r="K181" i="4"/>
  <c r="J181" i="4"/>
  <c r="J120" i="4"/>
  <c r="K120" i="4"/>
  <c r="K85" i="4"/>
  <c r="J85" i="4"/>
  <c r="AA17" i="4"/>
  <c r="Y39" i="4"/>
  <c r="K222" i="4"/>
  <c r="J222" i="4"/>
  <c r="K178" i="4"/>
  <c r="J178" i="4"/>
  <c r="K225" i="4"/>
  <c r="J225" i="4"/>
  <c r="K159" i="4"/>
  <c r="J159" i="4"/>
  <c r="K7" i="4"/>
  <c r="J7" i="4"/>
  <c r="K157" i="4"/>
  <c r="J157" i="4"/>
  <c r="K32" i="4"/>
  <c r="J32" i="4"/>
  <c r="K77" i="4"/>
  <c r="J77" i="4"/>
  <c r="J160" i="4"/>
  <c r="K160" i="4"/>
  <c r="K42" i="4"/>
  <c r="J42" i="4"/>
  <c r="J131" i="4"/>
  <c r="K131" i="4"/>
  <c r="K72" i="4"/>
  <c r="J72" i="4"/>
  <c r="K35" i="4"/>
  <c r="J35" i="4"/>
  <c r="J174" i="4"/>
  <c r="K174" i="4"/>
  <c r="K24" i="4"/>
  <c r="J24" i="4"/>
  <c r="J141" i="4"/>
  <c r="K141" i="4"/>
  <c r="AA29" i="4"/>
  <c r="W42" i="4"/>
  <c r="AA27" i="4"/>
  <c r="Y25" i="4"/>
  <c r="W23" i="4"/>
  <c r="AA41" i="4"/>
  <c r="W22" i="4"/>
  <c r="AA40" i="4"/>
  <c r="AC30" i="4"/>
  <c r="AA14" i="4"/>
  <c r="K105" i="4"/>
  <c r="J105" i="4"/>
  <c r="K114" i="4"/>
  <c r="J114" i="4"/>
  <c r="J75" i="4"/>
  <c r="K75" i="4"/>
  <c r="J102" i="4"/>
  <c r="K102" i="4"/>
  <c r="J100" i="4"/>
  <c r="K100" i="4"/>
  <c r="K119" i="4"/>
  <c r="J119" i="4"/>
  <c r="K153" i="4"/>
  <c r="J153" i="4"/>
  <c r="K217" i="4"/>
  <c r="J217" i="4"/>
  <c r="K211" i="4"/>
  <c r="J211" i="4"/>
  <c r="J182" i="4"/>
  <c r="K182" i="4"/>
  <c r="W27" i="4"/>
  <c r="J5" i="4"/>
  <c r="K5" i="4"/>
  <c r="W26" i="4"/>
  <c r="K9" i="4"/>
  <c r="J9" i="4"/>
  <c r="AC9" i="4"/>
  <c r="AC40" i="4"/>
  <c r="AC24" i="4"/>
  <c r="AC28" i="4"/>
  <c r="AC10" i="4"/>
  <c r="Y30" i="4"/>
  <c r="AC32" i="4"/>
  <c r="K224" i="4"/>
  <c r="J224" i="4"/>
  <c r="K223" i="4"/>
  <c r="J223" i="4"/>
  <c r="J38" i="4"/>
  <c r="K38" i="4"/>
  <c r="K43" i="4"/>
  <c r="J43" i="4"/>
  <c r="J144" i="4"/>
  <c r="K144" i="4"/>
  <c r="AA36" i="4"/>
  <c r="K18" i="4"/>
  <c r="J18" i="4"/>
  <c r="J227" i="4"/>
  <c r="K227" i="4"/>
  <c r="K202" i="4"/>
  <c r="J202" i="4"/>
  <c r="J219" i="4"/>
  <c r="K219" i="4"/>
  <c r="K175" i="4"/>
  <c r="J175" i="4"/>
  <c r="K192" i="4"/>
  <c r="J192" i="4"/>
  <c r="K208" i="4"/>
  <c r="J208" i="4"/>
  <c r="K30" i="4"/>
  <c r="J30" i="4"/>
  <c r="K151" i="4"/>
  <c r="J151" i="4"/>
  <c r="K101" i="4"/>
  <c r="J101" i="4"/>
  <c r="J134" i="4"/>
  <c r="K134" i="4"/>
  <c r="K112" i="4"/>
  <c r="J112" i="4"/>
  <c r="K71" i="4"/>
  <c r="J71" i="4"/>
  <c r="W11" i="4"/>
  <c r="K37" i="4"/>
  <c r="J37" i="4"/>
  <c r="W35" i="4"/>
  <c r="Y43" i="4"/>
  <c r="W33" i="4"/>
  <c r="AA26" i="4"/>
  <c r="Y24" i="4"/>
  <c r="Y23" i="4"/>
  <c r="Y5" i="4"/>
  <c r="J86" i="4"/>
  <c r="K86" i="4"/>
  <c r="K27" i="4"/>
  <c r="J27" i="4"/>
  <c r="K53" i="4"/>
  <c r="J53" i="4"/>
  <c r="Y28" i="4"/>
  <c r="Y14" i="4"/>
  <c r="K132" i="4"/>
  <c r="J132" i="4"/>
  <c r="J158" i="4"/>
  <c r="K158" i="4"/>
  <c r="K76" i="4"/>
  <c r="J76" i="4"/>
  <c r="K113" i="4"/>
  <c r="J113" i="4"/>
  <c r="J110" i="4"/>
  <c r="K110" i="4"/>
  <c r="K161" i="4"/>
  <c r="J161" i="4"/>
  <c r="K220" i="4"/>
  <c r="J220" i="4"/>
  <c r="K215" i="4"/>
  <c r="J215" i="4"/>
  <c r="K57" i="4"/>
  <c r="J57" i="4"/>
  <c r="AA22" i="4"/>
  <c r="K65" i="4"/>
  <c r="J65" i="4"/>
  <c r="AC25" i="4"/>
  <c r="AC20" i="4"/>
  <c r="AC33" i="4"/>
  <c r="AC36" i="4"/>
  <c r="AC18" i="4"/>
  <c r="AL203" i="4"/>
  <c r="AL120" i="4"/>
  <c r="AL78" i="4"/>
  <c r="AL186" i="4"/>
  <c r="AL75" i="4"/>
  <c r="AL61" i="4"/>
  <c r="AL163" i="4"/>
  <c r="AL56" i="4"/>
  <c r="AL49" i="4"/>
  <c r="AL222" i="4"/>
  <c r="AL175" i="4"/>
  <c r="AL202" i="4"/>
  <c r="AL51" i="4"/>
  <c r="AL126" i="4"/>
  <c r="AL152" i="4"/>
  <c r="AL145" i="4"/>
  <c r="AL174" i="4"/>
  <c r="AL137" i="4"/>
  <c r="AL34" i="4"/>
  <c r="AL107" i="4"/>
  <c r="AL48" i="4"/>
  <c r="AL211" i="4"/>
  <c r="AL117" i="4"/>
  <c r="AL158" i="4"/>
  <c r="AL59" i="4"/>
  <c r="AL193" i="4"/>
  <c r="AL71" i="4"/>
  <c r="AL151" i="4"/>
  <c r="AL133" i="4"/>
  <c r="AL91" i="4"/>
  <c r="AL44" i="4"/>
  <c r="AL122" i="4"/>
  <c r="AL37" i="4"/>
  <c r="AL50" i="4"/>
  <c r="AL67" i="4"/>
  <c r="AL227" i="4"/>
  <c r="AL207" i="4"/>
  <c r="AL57" i="4"/>
  <c r="AL108" i="4"/>
  <c r="AL104" i="4"/>
  <c r="AL225" i="4"/>
  <c r="AL139" i="4"/>
  <c r="AL27" i="4"/>
  <c r="AL29" i="4"/>
  <c r="AL146" i="4"/>
  <c r="AL25" i="4"/>
  <c r="AL192" i="4"/>
  <c r="AL134" i="4"/>
  <c r="AL113" i="4"/>
  <c r="AL140" i="4"/>
  <c r="AL127" i="4"/>
  <c r="AL180" i="4"/>
  <c r="AL13" i="4"/>
  <c r="AL149" i="4"/>
  <c r="AL10" i="4"/>
  <c r="AL14" i="4"/>
  <c r="AL201" i="4"/>
  <c r="AL170" i="4"/>
  <c r="AL130" i="4"/>
  <c r="AL153" i="4"/>
  <c r="AL40" i="4"/>
  <c r="AL72" i="4"/>
  <c r="AL212" i="4"/>
  <c r="AL148" i="4"/>
  <c r="AL79" i="4"/>
  <c r="AL18" i="4"/>
  <c r="AL42" i="4"/>
  <c r="AL55" i="4"/>
  <c r="AL110" i="4"/>
  <c r="AL135" i="4"/>
  <c r="AL200" i="4"/>
  <c r="AL188" i="4"/>
  <c r="AL179" i="4"/>
  <c r="AL84" i="4"/>
  <c r="AL189" i="4"/>
  <c r="AL144" i="4"/>
  <c r="AL85" i="4"/>
  <c r="AL77" i="4"/>
  <c r="AL111" i="4"/>
  <c r="AL52" i="4"/>
  <c r="AL204" i="4"/>
  <c r="AL88" i="4"/>
  <c r="AL32" i="4"/>
  <c r="AL172" i="4"/>
  <c r="AL7" i="4"/>
  <c r="AL30" i="4"/>
  <c r="AL157" i="4"/>
  <c r="AL168" i="4"/>
  <c r="AL136" i="4"/>
  <c r="AL167" i="4"/>
  <c r="AL165" i="4"/>
  <c r="AL195" i="4"/>
  <c r="AL160" i="4"/>
  <c r="AL141" i="4"/>
  <c r="AL97" i="4"/>
  <c r="AL33" i="4"/>
  <c r="AL105" i="4"/>
  <c r="AL39" i="4"/>
  <c r="AL70" i="4"/>
  <c r="AL217" i="4"/>
  <c r="AL142" i="4"/>
  <c r="AL115" i="4"/>
  <c r="AL112" i="4"/>
  <c r="AL68" i="4"/>
  <c r="AL69" i="4"/>
  <c r="AL190" i="4"/>
  <c r="AL177" i="4"/>
  <c r="AL205" i="4"/>
  <c r="AL226" i="4"/>
  <c r="AL102" i="4"/>
  <c r="AL45" i="4"/>
  <c r="AL43" i="4"/>
  <c r="AL208" i="4"/>
  <c r="AL80" i="4"/>
  <c r="AL31" i="4"/>
  <c r="AL90" i="4"/>
  <c r="AL24" i="4"/>
  <c r="AL214" i="4"/>
  <c r="AL181" i="4"/>
  <c r="AL5" i="4"/>
  <c r="AL96" i="4"/>
  <c r="AL76" i="4"/>
  <c r="AL74" i="4"/>
  <c r="AL178" i="4"/>
  <c r="AL92" i="4"/>
  <c r="AL176" i="4"/>
  <c r="AL131" i="4"/>
  <c r="AL100" i="4"/>
  <c r="AL216" i="4"/>
  <c r="AL63" i="4"/>
  <c r="AL73" i="4"/>
  <c r="AL215" i="4"/>
  <c r="AL128" i="4"/>
  <c r="AL220" i="4"/>
  <c r="AL99" i="4"/>
  <c r="AL147" i="4"/>
  <c r="AL154" i="4"/>
  <c r="AL156" i="4"/>
  <c r="AL219" i="4"/>
  <c r="AL35" i="4"/>
  <c r="AL95" i="4"/>
  <c r="AL223" i="4"/>
  <c r="AL182" i="4"/>
  <c r="AL166" i="4"/>
  <c r="AL12" i="4"/>
  <c r="AL8" i="4"/>
  <c r="AL58" i="4"/>
  <c r="AL21" i="4"/>
  <c r="AL89" i="4"/>
  <c r="AL28" i="4"/>
  <c r="AL11" i="4"/>
  <c r="AL206" i="4"/>
  <c r="AL171" i="4"/>
  <c r="AL185" i="4"/>
  <c r="AL54" i="4"/>
  <c r="AL132" i="4"/>
  <c r="AL6" i="4"/>
  <c r="AL64" i="4"/>
  <c r="AL218" i="4"/>
  <c r="AL41" i="4"/>
  <c r="AL15" i="4"/>
  <c r="AL191" i="4"/>
  <c r="AL210" i="4"/>
  <c r="AL36" i="4"/>
  <c r="AL121" i="4"/>
  <c r="AL86" i="4"/>
  <c r="AL47" i="4"/>
  <c r="AL22" i="4"/>
  <c r="AL103" i="4"/>
  <c r="AL197" i="4"/>
  <c r="AL17" i="4"/>
  <c r="AL87" i="4"/>
  <c r="AL93" i="4"/>
  <c r="AL20" i="4"/>
  <c r="AL116" i="4"/>
  <c r="AL118" i="4"/>
  <c r="AL60" i="4"/>
  <c r="AL194" i="4"/>
  <c r="AL66" i="4"/>
  <c r="AL129" i="4"/>
  <c r="AL38" i="4"/>
  <c r="AL138" i="4"/>
  <c r="AL187" i="4"/>
  <c r="AL109" i="4"/>
  <c r="AL82" i="4"/>
  <c r="AL62" i="4"/>
  <c r="AL196" i="4"/>
  <c r="AL9" i="4"/>
  <c r="AL155" i="4"/>
  <c r="AL125" i="4"/>
  <c r="AL106" i="4"/>
  <c r="AL81" i="4"/>
  <c r="AL23" i="4"/>
  <c r="AL164" i="4"/>
  <c r="AL161" i="4"/>
  <c r="AL209" i="4"/>
  <c r="AL213" i="4"/>
  <c r="AL94" i="4"/>
  <c r="AL119" i="4"/>
  <c r="AL199" i="4"/>
  <c r="AL53" i="4"/>
  <c r="AL19" i="4"/>
  <c r="AL169" i="4"/>
  <c r="AL124" i="4"/>
  <c r="AL98" i="4"/>
  <c r="AL101" i="4"/>
  <c r="AL150" i="4"/>
  <c r="AL184" i="4"/>
  <c r="AL224" i="4"/>
  <c r="AL198" i="4"/>
  <c r="AL65" i="4"/>
  <c r="AL173" i="4"/>
  <c r="AL221" i="4"/>
  <c r="AL46" i="4"/>
  <c r="AL159" i="4"/>
  <c r="AL123" i="4"/>
  <c r="AL183" i="4"/>
  <c r="AL114" i="4"/>
  <c r="AL143" i="4"/>
  <c r="AL162" i="4"/>
  <c r="AL16" i="4"/>
  <c r="AL26" i="4"/>
  <c r="AL83" i="4"/>
  <c r="I19" i="2" l="1"/>
  <c r="I32" i="2"/>
  <c r="C36" i="2"/>
  <c r="B35" i="2"/>
  <c r="B29" i="2"/>
  <c r="C22" i="2"/>
  <c r="C37" i="2"/>
  <c r="B36" i="2"/>
  <c r="C23" i="2"/>
  <c r="B22" i="2"/>
  <c r="C38" i="2"/>
  <c r="B37" i="2"/>
  <c r="C24" i="2"/>
  <c r="B23" i="2"/>
  <c r="C40" i="2"/>
  <c r="B39" i="2"/>
  <c r="C26" i="2"/>
  <c r="B25" i="2"/>
  <c r="C41" i="2"/>
  <c r="B40" i="2"/>
  <c r="C27" i="2"/>
  <c r="B26" i="2"/>
  <c r="C42" i="2"/>
  <c r="B41" i="2"/>
  <c r="C28" i="2"/>
  <c r="B27" i="2"/>
  <c r="C35" i="2"/>
  <c r="C39" i="2"/>
  <c r="C25" i="2"/>
  <c r="B38" i="2"/>
  <c r="C29" i="2"/>
  <c r="B28" i="2"/>
  <c r="B42" i="2"/>
  <c r="B24" i="2"/>
  <c r="D38" i="2" l="1"/>
  <c r="F38" i="2"/>
  <c r="E38" i="2"/>
  <c r="A38" i="2"/>
  <c r="I38" i="2"/>
  <c r="G38" i="2"/>
  <c r="E29" i="2"/>
  <c r="A29" i="2"/>
  <c r="G29" i="2"/>
  <c r="F29" i="2"/>
  <c r="D29" i="2"/>
  <c r="I29" i="2"/>
  <c r="D40" i="2"/>
  <c r="I40" i="2"/>
  <c r="G40" i="2"/>
  <c r="F40" i="2"/>
  <c r="A40" i="2"/>
  <c r="E40" i="2"/>
  <c r="D37" i="2"/>
  <c r="E37" i="2"/>
  <c r="I37" i="2"/>
  <c r="G37" i="2"/>
  <c r="A37" i="2"/>
  <c r="F37" i="2"/>
  <c r="D35" i="2"/>
  <c r="A35" i="2"/>
  <c r="G35" i="2"/>
  <c r="F35" i="2"/>
  <c r="E35" i="2"/>
  <c r="I35" i="2"/>
  <c r="E23" i="2"/>
  <c r="D23" i="2"/>
  <c r="I23" i="2"/>
  <c r="G23" i="2"/>
  <c r="A23" i="2"/>
  <c r="F23" i="2"/>
  <c r="E26" i="2"/>
  <c r="I26" i="2"/>
  <c r="G26" i="2"/>
  <c r="F26" i="2"/>
  <c r="A26" i="2"/>
  <c r="D26" i="2"/>
  <c r="E24" i="2"/>
  <c r="F24" i="2"/>
  <c r="D24" i="2"/>
  <c r="A24" i="2"/>
  <c r="I24" i="2"/>
  <c r="G24" i="2"/>
  <c r="E27" i="2"/>
  <c r="I27" i="2"/>
  <c r="G27" i="2"/>
  <c r="D27" i="2"/>
  <c r="F27" i="2"/>
  <c r="A27" i="2"/>
  <c r="E25" i="2"/>
  <c r="G25" i="2"/>
  <c r="F25" i="2"/>
  <c r="D25" i="2"/>
  <c r="A25" i="2"/>
  <c r="I25" i="2"/>
  <c r="E22" i="2"/>
  <c r="A22" i="2"/>
  <c r="I22" i="2"/>
  <c r="G22" i="2"/>
  <c r="F22" i="2"/>
  <c r="D22" i="2"/>
  <c r="I42" i="2"/>
  <c r="D42" i="2"/>
  <c r="A42" i="2"/>
  <c r="F42" i="2"/>
  <c r="E42" i="2"/>
  <c r="G42" i="2"/>
  <c r="E28" i="2"/>
  <c r="A28" i="2"/>
  <c r="I28" i="2"/>
  <c r="F28" i="2"/>
  <c r="D28" i="2"/>
  <c r="G28" i="2"/>
  <c r="D41" i="2"/>
  <c r="I41" i="2"/>
  <c r="G41" i="2"/>
  <c r="E41" i="2"/>
  <c r="A41" i="2"/>
  <c r="F41" i="2"/>
  <c r="D39" i="2"/>
  <c r="G39" i="2"/>
  <c r="F39" i="2"/>
  <c r="E39" i="2"/>
  <c r="A39" i="2"/>
  <c r="I39" i="2"/>
  <c r="D36" i="2"/>
  <c r="A36" i="2"/>
  <c r="I36" i="2"/>
  <c r="G36" i="2"/>
  <c r="F36" i="2"/>
  <c r="E36" i="2"/>
  <c r="I1" i="2" l="1"/>
  <c r="M3" i="2"/>
  <c r="B36" i="1" l="1"/>
  <c r="B32" i="1"/>
  <c r="C19" i="1"/>
  <c r="C39" i="1"/>
  <c r="C35" i="1"/>
  <c r="B19" i="1"/>
  <c r="B39" i="1"/>
  <c r="B35" i="1"/>
  <c r="C18" i="1"/>
  <c r="B38" i="1"/>
  <c r="B34" i="1"/>
  <c r="C17" i="1"/>
  <c r="C37" i="1"/>
  <c r="C33" i="1"/>
  <c r="B17" i="1"/>
  <c r="B37" i="1"/>
  <c r="C14" i="1"/>
  <c r="Q1" i="1"/>
  <c r="C34" i="1"/>
  <c r="C32" i="1"/>
  <c r="B18" i="1"/>
  <c r="B16" i="1"/>
  <c r="B12" i="1"/>
  <c r="B33" i="1"/>
  <c r="B14" i="1"/>
  <c r="C38" i="1"/>
  <c r="C15" i="1"/>
  <c r="B15" i="1"/>
  <c r="C13" i="1"/>
  <c r="C16" i="1"/>
  <c r="C12" i="1"/>
  <c r="C36" i="1"/>
  <c r="B13" i="1"/>
  <c r="F20" i="1" l="1"/>
  <c r="L41" i="1"/>
  <c r="L20" i="1"/>
  <c r="L40" i="1"/>
  <c r="J21" i="1"/>
  <c r="L21" i="1"/>
  <c r="J41" i="1"/>
  <c r="J40" i="1"/>
  <c r="H21" i="1"/>
  <c r="J20" i="1"/>
  <c r="H41" i="1"/>
  <c r="H40" i="1"/>
  <c r="D20" i="1"/>
  <c r="H20" i="1"/>
  <c r="F21" i="1"/>
  <c r="F40" i="1"/>
  <c r="D41" i="1"/>
  <c r="F41" i="1"/>
  <c r="D40" i="1"/>
  <c r="D21" i="1"/>
  <c r="S37" i="1"/>
  <c r="R37" i="1"/>
  <c r="B89" i="1"/>
  <c r="N37" i="1"/>
  <c r="N89" i="1" s="1"/>
  <c r="V37" i="1"/>
  <c r="U37" i="1"/>
  <c r="T37" i="1"/>
  <c r="O37" i="1"/>
  <c r="O89" i="1" s="1"/>
  <c r="B74" i="1"/>
  <c r="T12" i="1"/>
  <c r="S12" i="1"/>
  <c r="R12" i="1"/>
  <c r="O12" i="1"/>
  <c r="O74" i="1" s="1"/>
  <c r="N12" i="1"/>
  <c r="N74" i="1" s="1"/>
  <c r="V12" i="1"/>
  <c r="U12" i="1"/>
  <c r="B77" i="1"/>
  <c r="T15" i="1"/>
  <c r="S15" i="1"/>
  <c r="R15" i="1"/>
  <c r="O15" i="1"/>
  <c r="O77" i="1" s="1"/>
  <c r="N15" i="1"/>
  <c r="N77" i="1" s="1"/>
  <c r="U15" i="1"/>
  <c r="V15" i="1"/>
  <c r="O34" i="1"/>
  <c r="O86" i="1" s="1"/>
  <c r="N34" i="1"/>
  <c r="N86" i="1" s="1"/>
  <c r="U34" i="1"/>
  <c r="T34" i="1"/>
  <c r="B86" i="1"/>
  <c r="V34" i="1"/>
  <c r="S34" i="1"/>
  <c r="R34" i="1"/>
  <c r="S33" i="1"/>
  <c r="R33" i="1"/>
  <c r="N33" i="1"/>
  <c r="N85" i="1" s="1"/>
  <c r="V33" i="1"/>
  <c r="B85" i="1"/>
  <c r="O33" i="1"/>
  <c r="O85" i="1" s="1"/>
  <c r="U33" i="1"/>
  <c r="T33" i="1"/>
  <c r="B79" i="1"/>
  <c r="R17" i="1"/>
  <c r="O17" i="1"/>
  <c r="O79" i="1" s="1"/>
  <c r="V17" i="1"/>
  <c r="U17" i="1"/>
  <c r="N17" i="1"/>
  <c r="N79" i="1" s="1"/>
  <c r="T17" i="1"/>
  <c r="S17" i="1"/>
  <c r="B78" i="1"/>
  <c r="T16" i="1"/>
  <c r="S16" i="1"/>
  <c r="R16" i="1"/>
  <c r="O16" i="1"/>
  <c r="O78" i="1" s="1"/>
  <c r="N16" i="1"/>
  <c r="N78" i="1" s="1"/>
  <c r="V16" i="1"/>
  <c r="U16" i="1"/>
  <c r="B80" i="1"/>
  <c r="O18" i="1"/>
  <c r="O80" i="1" s="1"/>
  <c r="N18" i="1"/>
  <c r="N80" i="1" s="1"/>
  <c r="V18" i="1"/>
  <c r="T18" i="1"/>
  <c r="S18" i="1"/>
  <c r="U18" i="1"/>
  <c r="R18" i="1"/>
  <c r="O38" i="1"/>
  <c r="O90" i="1" s="1"/>
  <c r="N38" i="1"/>
  <c r="N90" i="1" s="1"/>
  <c r="U38" i="1"/>
  <c r="T38" i="1"/>
  <c r="S38" i="1"/>
  <c r="V38" i="1"/>
  <c r="R38" i="1"/>
  <c r="B90" i="1"/>
  <c r="U32" i="1"/>
  <c r="T32" i="1"/>
  <c r="S32" i="1"/>
  <c r="B84" i="1"/>
  <c r="O32" i="1"/>
  <c r="O84" i="1" s="1"/>
  <c r="V32" i="1"/>
  <c r="R32" i="1"/>
  <c r="N32" i="1"/>
  <c r="N84" i="1" s="1"/>
  <c r="B87" i="1"/>
  <c r="N35" i="1"/>
  <c r="N87" i="1" s="1"/>
  <c r="V35" i="1"/>
  <c r="U35" i="1"/>
  <c r="S35" i="1"/>
  <c r="R35" i="1"/>
  <c r="T35" i="1"/>
  <c r="O35" i="1"/>
  <c r="O87" i="1" s="1"/>
  <c r="N39" i="1"/>
  <c r="N91" i="1" s="1"/>
  <c r="V39" i="1"/>
  <c r="U39" i="1"/>
  <c r="B91" i="1"/>
  <c r="S39" i="1"/>
  <c r="R39" i="1"/>
  <c r="T39" i="1"/>
  <c r="O39" i="1"/>
  <c r="O91" i="1" s="1"/>
  <c r="B81" i="1"/>
  <c r="V19" i="1"/>
  <c r="U19" i="1"/>
  <c r="T19" i="1"/>
  <c r="R19" i="1"/>
  <c r="O19" i="1"/>
  <c r="O81" i="1" s="1"/>
  <c r="N19" i="1"/>
  <c r="N81" i="1" s="1"/>
  <c r="S19" i="1"/>
  <c r="B75" i="1"/>
  <c r="T13" i="1"/>
  <c r="S13" i="1"/>
  <c r="R13" i="1"/>
  <c r="O13" i="1"/>
  <c r="O75" i="1" s="1"/>
  <c r="N13" i="1"/>
  <c r="N75" i="1" s="1"/>
  <c r="V13" i="1"/>
  <c r="U13" i="1"/>
  <c r="B76" i="1"/>
  <c r="T14" i="1"/>
  <c r="S14" i="1"/>
  <c r="R14" i="1"/>
  <c r="O14" i="1"/>
  <c r="O76" i="1" s="1"/>
  <c r="N14" i="1"/>
  <c r="N76" i="1" s="1"/>
  <c r="V14" i="1"/>
  <c r="U14" i="1"/>
  <c r="U36" i="1"/>
  <c r="B88" i="1"/>
  <c r="T36" i="1"/>
  <c r="S36" i="1"/>
  <c r="O36" i="1"/>
  <c r="O88" i="1" s="1"/>
  <c r="N36" i="1"/>
  <c r="N88" i="1" s="1"/>
  <c r="V36" i="1"/>
  <c r="R36" i="1"/>
  <c r="F24" i="1" l="1"/>
  <c r="F22" i="1"/>
  <c r="Y12" i="1" s="1"/>
  <c r="L42" i="1"/>
  <c r="Z15" i="1" s="1"/>
  <c r="J25" i="1"/>
  <c r="L44" i="1"/>
  <c r="L24" i="1"/>
  <c r="L45" i="1"/>
  <c r="L25" i="1"/>
  <c r="L22" i="1"/>
  <c r="J42" i="1"/>
  <c r="Z14" i="1" s="1"/>
  <c r="J45" i="1"/>
  <c r="J44" i="1"/>
  <c r="H45" i="1"/>
  <c r="J24" i="1"/>
  <c r="J22" i="1"/>
  <c r="H42" i="1"/>
  <c r="Z13" i="1" s="1"/>
  <c r="H25" i="1"/>
  <c r="H44" i="1"/>
  <c r="H24" i="1"/>
  <c r="H22" i="1"/>
  <c r="F25" i="1"/>
  <c r="F44" i="1"/>
  <c r="F89" i="1" s="1"/>
  <c r="D25" i="1"/>
  <c r="D42" i="1"/>
  <c r="Z11" i="1" s="1"/>
  <c r="F45" i="1"/>
  <c r="F42" i="1"/>
  <c r="D44" i="1"/>
  <c r="D24" i="1"/>
  <c r="D22" i="1"/>
  <c r="D45" i="1"/>
  <c r="Q34" i="1"/>
  <c r="Q36" i="1"/>
  <c r="Q18" i="1"/>
  <c r="Q39" i="1"/>
  <c r="Q35" i="1"/>
  <c r="Q32" i="1"/>
  <c r="Q38" i="1"/>
  <c r="D86" i="1"/>
  <c r="Q14" i="1"/>
  <c r="Q13" i="1"/>
  <c r="J91" i="1"/>
  <c r="H91" i="1"/>
  <c r="F91" i="1"/>
  <c r="D91" i="1"/>
  <c r="L91" i="1" s="1"/>
  <c r="J84" i="1"/>
  <c r="H84" i="1"/>
  <c r="D84" i="1"/>
  <c r="L84" i="1" s="1"/>
  <c r="F84" i="1"/>
  <c r="Q16" i="1"/>
  <c r="Q15" i="1"/>
  <c r="Q12" i="1"/>
  <c r="Q19" i="1"/>
  <c r="D89" i="1"/>
  <c r="D85" i="1"/>
  <c r="Q17" i="1"/>
  <c r="Q33" i="1"/>
  <c r="Q37" i="1"/>
  <c r="H90" i="1"/>
  <c r="F90" i="1"/>
  <c r="D90" i="1"/>
  <c r="L90" i="1" s="1"/>
  <c r="J90" i="1"/>
  <c r="D88" i="1"/>
  <c r="D76" i="1"/>
  <c r="D75" i="1"/>
  <c r="J81" i="1"/>
  <c r="F81" i="1"/>
  <c r="D81" i="1"/>
  <c r="L81" i="1" s="1"/>
  <c r="H81" i="1"/>
  <c r="D87" i="1"/>
  <c r="D80" i="1"/>
  <c r="D78" i="1"/>
  <c r="J79" i="1"/>
  <c r="H79" i="1"/>
  <c r="F79" i="1"/>
  <c r="D79" i="1"/>
  <c r="L79" i="1" s="1"/>
  <c r="D77" i="1"/>
  <c r="D74" i="1"/>
  <c r="F26" i="1" l="1"/>
  <c r="F27" i="1" s="1"/>
  <c r="F78" i="1"/>
  <c r="F75" i="1"/>
  <c r="L46" i="1"/>
  <c r="L47" i="1" s="1"/>
  <c r="L43" i="1"/>
  <c r="L23" i="1"/>
  <c r="AA15" i="1" s="1"/>
  <c r="AC15" i="1" s="1"/>
  <c r="Y15" i="1"/>
  <c r="L26" i="1"/>
  <c r="L27" i="1" s="1"/>
  <c r="J46" i="1"/>
  <c r="J47" i="1" s="1"/>
  <c r="F76" i="1"/>
  <c r="F74" i="1"/>
  <c r="J23" i="1"/>
  <c r="AA14" i="1" s="1"/>
  <c r="J26" i="1"/>
  <c r="J27" i="1" s="1"/>
  <c r="J43" i="1"/>
  <c r="Y14" i="1"/>
  <c r="H46" i="1"/>
  <c r="H47" i="1" s="1"/>
  <c r="D46" i="1"/>
  <c r="H26" i="1"/>
  <c r="H27" i="1" s="1"/>
  <c r="Y13" i="1"/>
  <c r="H23" i="1"/>
  <c r="AA13" i="1" s="1"/>
  <c r="H43" i="1"/>
  <c r="F88" i="1"/>
  <c r="F77" i="1"/>
  <c r="F85" i="1"/>
  <c r="N40" i="1"/>
  <c r="J68" i="1" s="1"/>
  <c r="F87" i="1"/>
  <c r="D43" i="1"/>
  <c r="F86" i="1"/>
  <c r="F80" i="1"/>
  <c r="D23" i="1"/>
  <c r="AA11" i="1" s="1"/>
  <c r="AE11" i="1" s="1"/>
  <c r="F46" i="1"/>
  <c r="F47" i="1" s="1"/>
  <c r="Z12" i="1"/>
  <c r="F43" i="1"/>
  <c r="F23" i="1"/>
  <c r="AA12" i="1" s="1"/>
  <c r="N20" i="1"/>
  <c r="O22" i="1" s="1"/>
  <c r="Y11" i="1"/>
  <c r="D26" i="1"/>
  <c r="D27" i="1" s="1"/>
  <c r="D47" i="1" l="1"/>
  <c r="N27" i="1" s="1"/>
  <c r="M6" i="1" s="1"/>
  <c r="H89" i="1"/>
  <c r="J89" i="1" s="1"/>
  <c r="L89" i="1" s="1"/>
  <c r="H78" i="1"/>
  <c r="J78" i="1" s="1"/>
  <c r="L78" i="1" s="1"/>
  <c r="AD15" i="1"/>
  <c r="AD14" i="1"/>
  <c r="AC14" i="1"/>
  <c r="H76" i="1"/>
  <c r="J76" i="1" s="1"/>
  <c r="L76" i="1" s="1"/>
  <c r="O42" i="1"/>
  <c r="AD13" i="1"/>
  <c r="AC13" i="1"/>
  <c r="H87" i="1"/>
  <c r="J87" i="1" s="1"/>
  <c r="L87" i="1" s="1"/>
  <c r="H85" i="1"/>
  <c r="J85" i="1" s="1"/>
  <c r="L85" i="1" s="1"/>
  <c r="AE13" i="1"/>
  <c r="H86" i="1"/>
  <c r="J86" i="1" s="1"/>
  <c r="L86" i="1" s="1"/>
  <c r="H88" i="1"/>
  <c r="J88" i="1" s="1"/>
  <c r="L88" i="1" s="1"/>
  <c r="AE15" i="1"/>
  <c r="AE14" i="1"/>
  <c r="AD11" i="1"/>
  <c r="AC11" i="1"/>
  <c r="AE12" i="1"/>
  <c r="H77" i="1"/>
  <c r="J77" i="1" s="1"/>
  <c r="L77" i="1" s="1"/>
  <c r="N23" i="1"/>
  <c r="H80" i="1"/>
  <c r="J80" i="1" s="1"/>
  <c r="L80" i="1" s="1"/>
  <c r="J67" i="1"/>
  <c r="AD12" i="1"/>
  <c r="AC12" i="1"/>
  <c r="N43" i="1"/>
  <c r="H74" i="1"/>
  <c r="J74" i="1" s="1"/>
  <c r="L74" i="1" s="1"/>
  <c r="H75" i="1"/>
  <c r="J75" i="1" s="1"/>
  <c r="L75" i="1" s="1"/>
  <c r="N47" i="1" l="1"/>
  <c r="M7" i="1" s="1"/>
  <c r="O24" i="1"/>
  <c r="M67" i="1"/>
  <c r="M68" i="1" l="1"/>
  <c r="O44" i="1"/>
</calcChain>
</file>

<file path=xl/sharedStrings.xml><?xml version="1.0" encoding="utf-8"?>
<sst xmlns="http://schemas.openxmlformats.org/spreadsheetml/2006/main" count="1319" uniqueCount="550">
  <si>
    <t>Vieta</t>
  </si>
  <si>
    <t>Data</t>
  </si>
  <si>
    <t>Teisėjas</t>
  </si>
  <si>
    <t>Namų komanda</t>
  </si>
  <si>
    <t>Taškai</t>
  </si>
  <si>
    <t>Svečių komanda</t>
  </si>
  <si>
    <t>NAMŲ KOMANDA</t>
  </si>
  <si>
    <t>Vardas, Pavardė</t>
  </si>
  <si>
    <t>Hcp</t>
  </si>
  <si>
    <t>1 partija</t>
  </si>
  <si>
    <t>2 partija</t>
  </si>
  <si>
    <t>3 partija</t>
  </si>
  <si>
    <t>4 partija</t>
  </si>
  <si>
    <t>5 partija</t>
  </si>
  <si>
    <t>Suma</t>
  </si>
  <si>
    <t>Vidurkis</t>
  </si>
  <si>
    <t>Partija</t>
  </si>
  <si>
    <t>Namai</t>
  </si>
  <si>
    <t>Svečiai</t>
  </si>
  <si>
    <t>Skirtumas</t>
  </si>
  <si>
    <t>Namai laimėjo</t>
  </si>
  <si>
    <t>Svečiai laimėjo</t>
  </si>
  <si>
    <t>Bendras skirtumas</t>
  </si>
  <si>
    <t>Pora</t>
  </si>
  <si>
    <t>Rezultatas</t>
  </si>
  <si>
    <t>Pora Nr.1</t>
  </si>
  <si>
    <t>Pora Nr.2</t>
  </si>
  <si>
    <t>Viso per partiją (bendras)</t>
  </si>
  <si>
    <t>su Hcp</t>
  </si>
  <si>
    <t>Skirtumas per partiją</t>
  </si>
  <si>
    <t>Taškai Pora Nr.1</t>
  </si>
  <si>
    <t>Taškai Pora Nr.2</t>
  </si>
  <si>
    <t>Taškai (bendras rezultatas)</t>
  </si>
  <si>
    <t>TAŠKAI</t>
  </si>
  <si>
    <t>SVEČIŲ KOMANDA</t>
  </si>
  <si>
    <t>VARDAS, PAVARDĖ</t>
  </si>
  <si>
    <t>PARTIJOS</t>
  </si>
  <si>
    <t>SUMA</t>
  </si>
  <si>
    <t>VIDURKIS</t>
  </si>
  <si>
    <t>POROJE</t>
  </si>
  <si>
    <t>KOMANDOJ</t>
  </si>
  <si>
    <t>VISO</t>
  </si>
  <si>
    <t>A</t>
  </si>
  <si>
    <t>Lietuvos Boulingo Federacija</t>
  </si>
  <si>
    <t>www.lbf-bowling.lt</t>
  </si>
  <si>
    <t>LBL VARŽYBŲ PROTOKOLAS</t>
  </si>
  <si>
    <t>ETAPAS</t>
  </si>
  <si>
    <t>POGRUPIS</t>
  </si>
  <si>
    <t>RUNGTYNIŲ DATA</t>
  </si>
  <si>
    <t>RUNGTYNIŲ VIETA</t>
  </si>
  <si>
    <t>RUNGTYNIŲ TEISĖJAS</t>
  </si>
  <si>
    <t>1 takas</t>
  </si>
  <si>
    <t>2 takas</t>
  </si>
  <si>
    <t>3 takas</t>
  </si>
  <si>
    <t>4 takas</t>
  </si>
  <si>
    <t>TAKELIAI  (iš kairės į dešinę)</t>
  </si>
  <si>
    <t>ŠEIMININKAI  (namų komanda)</t>
  </si>
  <si>
    <t>Nr.</t>
  </si>
  <si>
    <t>Pora ir takas  (apibraukite):   1p = 1 pora,  3t = 3 takas</t>
  </si>
  <si>
    <t>Partija 1</t>
  </si>
  <si>
    <t>Partija 4</t>
  </si>
  <si>
    <t>SVEČIAI  (svečių komanda)</t>
  </si>
  <si>
    <t>KAPITONŲ PASTABOS  (pildoma ranka varžybų metu)</t>
  </si>
  <si>
    <t>Šeimininkų kapitonas</t>
  </si>
  <si>
    <t>Svečių kapitonas</t>
  </si>
  <si>
    <t>(parašas)</t>
  </si>
  <si>
    <t>Rungtynių teisėjas</t>
  </si>
  <si>
    <t>LBL ŽAIDIMO SCHEMA  (informacinis lapas)</t>
  </si>
  <si>
    <t>Legenda ir taisyklės</t>
  </si>
  <si>
    <t>• Žaidimo takai schemoje nurodyti eilės tvarka IŠ KAIRĖS Į DEŠINĘ ir gali neatitikti numeracijos boulingo centre.
• Schemoje nurodyti takai, ant kurių komandų poros PRADEDA partiją. Vykstant žaidimui cross-line sistema namų komanda pirmą partiją pradeda ant neporinio tako, antrą – ant porinio ir t. t.; svečių komanda – atvirkščiai.
• Žaidėjų keitimai atsarginiais žaidėjais galimi po apšilimo ir po kiekvienos partijos, jie nėra ribojami. Pakeistas žaidėjas prieš sekančią partiją laikomas atsarginiu ir gali būti priskirtas į bet kurią porą.
• Protokolą pirmas užpildo NAMŲ komandos kapitonas (sudaro dvi poras ir priskiria takus), antras – SVEČIŲ komandos kapitonas.</t>
  </si>
  <si>
    <t>Tarpusavio dvikova</t>
  </si>
  <si>
    <t>Apšilimo takas /
atsarginiai žaidėjai</t>
  </si>
  <si>
    <t>Pora 1</t>
  </si>
  <si>
    <t>Pora 2</t>
  </si>
  <si>
    <t>Atsarginiai žaidėjai</t>
  </si>
  <si>
    <t>Namai 1</t>
  </si>
  <si>
    <t>Svečiai 1</t>
  </si>
  <si>
    <t>Namai 3</t>
  </si>
  <si>
    <t>Svečiai 3</t>
  </si>
  <si>
    <t>Namai 2</t>
  </si>
  <si>
    <t>Svečiai 2</t>
  </si>
  <si>
    <t>Namai 4</t>
  </si>
  <si>
    <t>Svečiai 4</t>
  </si>
  <si>
    <t>• Po trijų (3) partijų daroma 5 minučių pertrauka.
• Pertraukos metu kapitonai sudaro NAUJAS poras panaudodami visus komandos žaidėjus ir gali visiškai neatsižvelgti į tai, kokios poros buvo iki ketvirtos partijos.
• Prieš 4 partiją protokolą pirmas užpildo SVEČIŲ komandos kapitonas, antras – NAMŲ komandos kapitonas.</t>
  </si>
  <si>
    <t>Taškų skaičiavimas</t>
  </si>
  <si>
    <t>TAŠKŲ SKAIČIAVIMAS (5 partijos, iš viso 36 taškai):
• Kiekvienoje partijoje: 2 tšk. už Poros Nr.1 dvikovą, 2 tšk. už Poros Nr.2 dvikovą, 2 tšk. už bendrą partijos rezultatą (lygiosios – po 1 tšk.) → 6 tšk. per partiją × 5 partijos = 30 tšk.
• Papildomai 6 tšk. už didesnę visų 5 partijų bendrą sumą (lygiosios – po 3 tšk.).
• Į poros ir komandos rezultatą įskaitomi žaidėjų Hcp taškai.
• Komandoje gali būti registruoti iki 8 žaidėjai; kiekvieną partiją žaidžia 4 (dvi poros po 2).</t>
  </si>
  <si>
    <t>LBL – SEZONO DUOMENYS (administravimas)</t>
  </si>
  <si>
    <t>Sezonas:</t>
  </si>
  <si>
    <t>2026-2027</t>
  </si>
  <si>
    <t>Užpildoma VIENĄ KARTĄ prieš sezoną.   GELTONI langeliai – pildomi, PILKI – formulės (nekeisti).   Vesti galima bet kokia tvarka – surikiuojama automatiškai.
NAUJA KOMANDA: eilutėje pasirinkite Lygą, tada Komandą. Jei jos sąraše dar nėra – įrašykite; nuo tada ji matoma ir kitose eilutėse.   RIKIAVIMAS: tik per filtro rodykles antraštėje.</t>
  </si>
  <si>
    <t>RIKIAVIMAS PAGAL ABĖCĖLĘ  (sisteminis – nekeisti)</t>
  </si>
  <si>
    <t>Pora ir takas</t>
  </si>
  <si>
    <t>Lyga</t>
  </si>
  <si>
    <t>Komanda</t>
  </si>
  <si>
    <t>Vardas</t>
  </si>
  <si>
    <t>Pavardė</t>
  </si>
  <si>
    <t>Pogrupis (B ir C lygos)</t>
  </si>
  <si>
    <t>Administratoriaus pastabos (laisvai)</t>
  </si>
  <si>
    <t>Pilnas vardas</t>
  </si>
  <si>
    <t>Raktas</t>
  </si>
  <si>
    <t>Klaidos (ištaisyti)</t>
  </si>
  <si>
    <t>Informacija</t>
  </si>
  <si>
    <t>pirmas</t>
  </si>
  <si>
    <t>kom. vieta</t>
  </si>
  <si>
    <t>akt. vieta</t>
  </si>
  <si>
    <t>Boulingo centras</t>
  </si>
  <si>
    <t>Miestas</t>
  </si>
  <si>
    <t>Rodoma protokole</t>
  </si>
  <si>
    <t>Varžybų etapai (eigos tvarka)</t>
  </si>
  <si>
    <t>A lyga (surikiuota)</t>
  </si>
  <si>
    <t>B lyga (surikiuota)</t>
  </si>
  <si>
    <t>C lyga (surikiuota)</t>
  </si>
  <si>
    <t>vieta</t>
  </si>
  <si>
    <t>Centrai (surikiuota)</t>
  </si>
  <si>
    <t>Pasirinktos lygos/pogrupio komandos</t>
  </si>
  <si>
    <t>List1</t>
  </si>
  <si>
    <t>List2</t>
  </si>
  <si>
    <t>List3</t>
  </si>
  <si>
    <t>List4</t>
  </si>
  <si>
    <t>Pogrupiai (kai reikia)</t>
  </si>
  <si>
    <t>ACTION!</t>
  </si>
  <si>
    <t>Nerijus</t>
  </si>
  <si>
    <t>AKOCKAS</t>
  </si>
  <si>
    <t>Amerigo</t>
  </si>
  <si>
    <t>Vilnius</t>
  </si>
  <si>
    <t>I Kvalifikacijos Etapas</t>
  </si>
  <si>
    <t>Audrius</t>
  </si>
  <si>
    <t>Apollo</t>
  </si>
  <si>
    <t>Klaipėda</t>
  </si>
  <si>
    <t>II Kvalifikacijos Etapas</t>
  </si>
  <si>
    <t>Laimontas</t>
  </si>
  <si>
    <t>DINIUS</t>
  </si>
  <si>
    <t>Šiauliai</t>
  </si>
  <si>
    <t>Atkrintamosios</t>
  </si>
  <si>
    <t>Ugnius</t>
  </si>
  <si>
    <t>PETKEVIČIUS</t>
  </si>
  <si>
    <t>Kišenė</t>
  </si>
  <si>
    <t>Trakai</t>
  </si>
  <si>
    <t>Pereinamosios</t>
  </si>
  <si>
    <t>Marius</t>
  </si>
  <si>
    <t>ŠIAUDKULIS</t>
  </si>
  <si>
    <t>Palangos boulingas</t>
  </si>
  <si>
    <t>Palanga</t>
  </si>
  <si>
    <t>Pusfinalis</t>
  </si>
  <si>
    <t>Artūras</t>
  </si>
  <si>
    <t>SMILGYS</t>
  </si>
  <si>
    <t>O‘Learys</t>
  </si>
  <si>
    <t>Finalas</t>
  </si>
  <si>
    <t>ANDOPAS</t>
  </si>
  <si>
    <t>Sigitas</t>
  </si>
  <si>
    <t>BAUŽYS</t>
  </si>
  <si>
    <t>Oazė</t>
  </si>
  <si>
    <t>Kaunas</t>
  </si>
  <si>
    <t>Artemijs</t>
  </si>
  <si>
    <t>HUDJAKOVS</t>
  </si>
  <si>
    <t>Porto</t>
  </si>
  <si>
    <t>Plungė</t>
  </si>
  <si>
    <t>Gasparas</t>
  </si>
  <si>
    <t>KAZLAUSKAS</t>
  </si>
  <si>
    <t>SPA Vilnius</t>
  </si>
  <si>
    <t>Druskininkai</t>
  </si>
  <si>
    <t>Andrius</t>
  </si>
  <si>
    <t>PELAKAUSKAS</t>
  </si>
  <si>
    <t>Strike House</t>
  </si>
  <si>
    <t>Žilvinas</t>
  </si>
  <si>
    <t>PERMINAS</t>
  </si>
  <si>
    <t>Žirmūnai</t>
  </si>
  <si>
    <t>Daiva</t>
  </si>
  <si>
    <t>PERMINIENĖ</t>
  </si>
  <si>
    <t>POCIUS</t>
  </si>
  <si>
    <t>Mantas</t>
  </si>
  <si>
    <t>TRAKIMAVIČIUS</t>
  </si>
  <si>
    <t>BOWLY</t>
  </si>
  <si>
    <t>Dovydas</t>
  </si>
  <si>
    <t>DUSEVIČIUS</t>
  </si>
  <si>
    <t>FIODOROVAS</t>
  </si>
  <si>
    <t>Alex</t>
  </si>
  <si>
    <t>JOKI</t>
  </si>
  <si>
    <t>Tomas</t>
  </si>
  <si>
    <t>JONAITIS</t>
  </si>
  <si>
    <t>Lukas</t>
  </si>
  <si>
    <t>SEVELIN</t>
  </si>
  <si>
    <t>STEPONAVIČIUS</t>
  </si>
  <si>
    <t>Justas</t>
  </si>
  <si>
    <t>LISAUSKAS</t>
  </si>
  <si>
    <t>IMAGAMIS</t>
  </si>
  <si>
    <t>Rolandas</t>
  </si>
  <si>
    <t>ČEBATORIŪNAS</t>
  </si>
  <si>
    <t>Algirdas</t>
  </si>
  <si>
    <t>JAGNIEŠKUS</t>
  </si>
  <si>
    <t>Skaimilė</t>
  </si>
  <si>
    <t>JAGNIEŠKUTĖ</t>
  </si>
  <si>
    <t>Vadim</t>
  </si>
  <si>
    <t>JUKOVIČ</t>
  </si>
  <si>
    <t>Kęstutis</t>
  </si>
  <si>
    <t>KLIMAVIČIUS</t>
  </si>
  <si>
    <t>Vaidotas</t>
  </si>
  <si>
    <t>KRENCIUS</t>
  </si>
  <si>
    <t>Girvidas</t>
  </si>
  <si>
    <t>NARAUSKAS</t>
  </si>
  <si>
    <t>KAUNO GRŪDAI</t>
  </si>
  <si>
    <t>Aurelijus</t>
  </si>
  <si>
    <t>BERŽANSKAS</t>
  </si>
  <si>
    <t>Gytautas</t>
  </si>
  <si>
    <t>ČEPELIONIS</t>
  </si>
  <si>
    <t>Rimantas</t>
  </si>
  <si>
    <t>DAUBARAS</t>
  </si>
  <si>
    <t>Dalia</t>
  </si>
  <si>
    <t>DRAGŪNAITĖ</t>
  </si>
  <si>
    <t>Povilas</t>
  </si>
  <si>
    <t>KALVAITIS</t>
  </si>
  <si>
    <t>Klaudijus</t>
  </si>
  <si>
    <t>RIMKEVIČIUS</t>
  </si>
  <si>
    <t>ŽEMAITAITIS</t>
  </si>
  <si>
    <t>PROMETĖJAS</t>
  </si>
  <si>
    <t>Rimvydas</t>
  </si>
  <si>
    <t>BALŽEKAS</t>
  </si>
  <si>
    <t>Aidas</t>
  </si>
  <si>
    <t>BORODINAS</t>
  </si>
  <si>
    <t>Arnoldas</t>
  </si>
  <si>
    <t>JURGELEVIČIUS</t>
  </si>
  <si>
    <t>Drąsius</t>
  </si>
  <si>
    <t>KIETIS</t>
  </si>
  <si>
    <t>Osvaldas</t>
  </si>
  <si>
    <t>NOREIKA</t>
  </si>
  <si>
    <t>Kristina</t>
  </si>
  <si>
    <t>RULYTĖ</t>
  </si>
  <si>
    <t>Karolis</t>
  </si>
  <si>
    <t>ŠMIDTAS</t>
  </si>
  <si>
    <t>STRIKE HOUSE &amp; D.M PROPERTIES</t>
  </si>
  <si>
    <t>DANIŪNAS</t>
  </si>
  <si>
    <t>GUDAUSKAS</t>
  </si>
  <si>
    <t>Rihards</t>
  </si>
  <si>
    <t>KOVAJENKO</t>
  </si>
  <si>
    <t>Artur</t>
  </si>
  <si>
    <t>LEVIKIN</t>
  </si>
  <si>
    <t>Raimundas</t>
  </si>
  <si>
    <t>NAKAS</t>
  </si>
  <si>
    <t>POLIKEVIČIUS</t>
  </si>
  <si>
    <t>WITSEE MELGA</t>
  </si>
  <si>
    <t>Jurijs</t>
  </si>
  <si>
    <t>BOKUMS</t>
  </si>
  <si>
    <t>Elvijs</t>
  </si>
  <si>
    <t>DIMPERS</t>
  </si>
  <si>
    <t>GASPARAVIČIUS</t>
  </si>
  <si>
    <t>Jolanta</t>
  </si>
  <si>
    <t>KONTVAINIENĖ</t>
  </si>
  <si>
    <t>Laurynas</t>
  </si>
  <si>
    <t>NARUŠIS</t>
  </si>
  <si>
    <t>Raimondas</t>
  </si>
  <si>
    <t>Marija</t>
  </si>
  <si>
    <t>ŽIOGĖ</t>
  </si>
  <si>
    <t>B</t>
  </si>
  <si>
    <t>7&amp;10</t>
  </si>
  <si>
    <t>Arnór Ingi</t>
  </si>
  <si>
    <t>Bjarkason</t>
  </si>
  <si>
    <t>Rytai</t>
  </si>
  <si>
    <t>ČESONIS</t>
  </si>
  <si>
    <t>DRŪTEIKA</t>
  </si>
  <si>
    <t>Sergejus</t>
  </si>
  <si>
    <t>SEMIONOV</t>
  </si>
  <si>
    <t>Valdemar</t>
  </si>
  <si>
    <t>STANKEVIČ</t>
  </si>
  <si>
    <t>Arūnas</t>
  </si>
  <si>
    <t>VARNELIS</t>
  </si>
  <si>
    <t>IŠ KARJERO.LT</t>
  </si>
  <si>
    <t>Jūratė</t>
  </si>
  <si>
    <t>BUDRYTĖ</t>
  </si>
  <si>
    <t>Vakarai</t>
  </si>
  <si>
    <t>Matas</t>
  </si>
  <si>
    <t>BARKAUSKAS</t>
  </si>
  <si>
    <t>GRIŠKEVIČIUS</t>
  </si>
  <si>
    <t>Žydrūnas</t>
  </si>
  <si>
    <t>MIKULEVIČIUS</t>
  </si>
  <si>
    <t>Alvydas</t>
  </si>
  <si>
    <t>MURAUSKAS</t>
  </si>
  <si>
    <t>Kastytis</t>
  </si>
  <si>
    <t>VITKUS</t>
  </si>
  <si>
    <t>Vitalij</t>
  </si>
  <si>
    <t>NICIN</t>
  </si>
  <si>
    <t>KLAIPĖDOS BŪRYS</t>
  </si>
  <si>
    <t>Darius</t>
  </si>
  <si>
    <t>BALTRIMAS</t>
  </si>
  <si>
    <t>Domas</t>
  </si>
  <si>
    <t>GEDRIMAS</t>
  </si>
  <si>
    <t>Žingirdas</t>
  </si>
  <si>
    <t>NAIMAVIČIUS</t>
  </si>
  <si>
    <t>Algimantas</t>
  </si>
  <si>
    <t>STONKUS</t>
  </si>
  <si>
    <t>Saulius</t>
  </si>
  <si>
    <t>SAUDARGAS</t>
  </si>
  <si>
    <t>Andžejus</t>
  </si>
  <si>
    <t>VAITKUS</t>
  </si>
  <si>
    <t>KOPTRANSA</t>
  </si>
  <si>
    <t>Regimantas</t>
  </si>
  <si>
    <t>ADOMAITIS</t>
  </si>
  <si>
    <t>Erikas</t>
  </si>
  <si>
    <t>DUŠKINAS</t>
  </si>
  <si>
    <t>Kristupas</t>
  </si>
  <si>
    <t>KLEVINSKAS</t>
  </si>
  <si>
    <t>PALAIMAITĖ</t>
  </si>
  <si>
    <t>Vaidas</t>
  </si>
  <si>
    <t>PAŠKEVIČIUS</t>
  </si>
  <si>
    <t>Edvinas</t>
  </si>
  <si>
    <t>SKARBALIUS</t>
  </si>
  <si>
    <t>Žaneta</t>
  </si>
  <si>
    <t>ŠMIDTIENĖ</t>
  </si>
  <si>
    <t>LUCKY STRIKE</t>
  </si>
  <si>
    <t>Dainius</t>
  </si>
  <si>
    <t>BULOTA</t>
  </si>
  <si>
    <t>Jolita</t>
  </si>
  <si>
    <t>GRIŠKEVIČIENĖ</t>
  </si>
  <si>
    <t>GRYBAUSKAS</t>
  </si>
  <si>
    <t>Danielis</t>
  </si>
  <si>
    <t>MEIDUS</t>
  </si>
  <si>
    <t>Norgedas</t>
  </si>
  <si>
    <t>NIKŠAS</t>
  </si>
  <si>
    <t>Sergej</t>
  </si>
  <si>
    <t>ZUBRECOV</t>
  </si>
  <si>
    <t>ONIKSAS</t>
  </si>
  <si>
    <t>ČENKUS</t>
  </si>
  <si>
    <t>Albinas</t>
  </si>
  <si>
    <t>DAMBRAUSKAS</t>
  </si>
  <si>
    <t>Asta</t>
  </si>
  <si>
    <t>DAMBRAUSKIENĖ</t>
  </si>
  <si>
    <t>Violeta</t>
  </si>
  <si>
    <t>MUSTEIKIENĖ</t>
  </si>
  <si>
    <t>Arvydas</t>
  </si>
  <si>
    <t>MUSTEIKIS</t>
  </si>
  <si>
    <t>NAVICKAS</t>
  </si>
  <si>
    <t>Silvinas</t>
  </si>
  <si>
    <t>SAKALAUSKAS</t>
  </si>
  <si>
    <t>SENI ŠERNAI</t>
  </si>
  <si>
    <t>ANDRUŠKA</t>
  </si>
  <si>
    <t>SELENIS</t>
  </si>
  <si>
    <t>SELENIENĖ</t>
  </si>
  <si>
    <t>Leta</t>
  </si>
  <si>
    <t>ANUŽIENĖ</t>
  </si>
  <si>
    <t>MITKEVIČIUS</t>
  </si>
  <si>
    <t>Vilius</t>
  </si>
  <si>
    <t>SUKONAS</t>
  </si>
  <si>
    <t>SOUNDSGOOD LT</t>
  </si>
  <si>
    <t>Arminas</t>
  </si>
  <si>
    <t>AUGONIS</t>
  </si>
  <si>
    <t>Nedas</t>
  </si>
  <si>
    <t>GRINKEVIČIUS</t>
  </si>
  <si>
    <t>KARECKAS</t>
  </si>
  <si>
    <t>Faustas</t>
  </si>
  <si>
    <t>MARKŪNAS</t>
  </si>
  <si>
    <t>Martynas</t>
  </si>
  <si>
    <t>MEKIONIS</t>
  </si>
  <si>
    <t>Mindaugas</t>
  </si>
  <si>
    <t>ŠLEGERIS</t>
  </si>
  <si>
    <t>SPA VILNIUS 2</t>
  </si>
  <si>
    <t>Petras</t>
  </si>
  <si>
    <t>DERŠONAS</t>
  </si>
  <si>
    <t>Gintaras</t>
  </si>
  <si>
    <t>JANČAUSKAS</t>
  </si>
  <si>
    <t>Elvyra</t>
  </si>
  <si>
    <t>OKUNEVIČIENĖ</t>
  </si>
  <si>
    <t>RADVILAVIČIUS</t>
  </si>
  <si>
    <t>ŠAPOKA</t>
  </si>
  <si>
    <t>Meilė</t>
  </si>
  <si>
    <t>VIDŪNAITĖ</t>
  </si>
  <si>
    <t>SVEIKATOS LANGAS</t>
  </si>
  <si>
    <t>DRIŽYS</t>
  </si>
  <si>
    <t>Gintas</t>
  </si>
  <si>
    <t>BENDORAITIS</t>
  </si>
  <si>
    <t>Mantvydas</t>
  </si>
  <si>
    <t>GERVICKAS</t>
  </si>
  <si>
    <t>Ramunė</t>
  </si>
  <si>
    <t>GERVICKIENĖ</t>
  </si>
  <si>
    <t>ŽUKAS</t>
  </si>
  <si>
    <t>Nijolė</t>
  </si>
  <si>
    <t>ŽUKIENĖ</t>
  </si>
  <si>
    <t>TOYOTA</t>
  </si>
  <si>
    <t>Arnas</t>
  </si>
  <si>
    <t>AMOLEVIČIUS</t>
  </si>
  <si>
    <t>BARTKEVIČIUS</t>
  </si>
  <si>
    <t>Rasa</t>
  </si>
  <si>
    <t>GERMANAVIČIENĖ</t>
  </si>
  <si>
    <t>Tautvydas</t>
  </si>
  <si>
    <t>LEKAVIČIUS</t>
  </si>
  <si>
    <t>Vytautas</t>
  </si>
  <si>
    <t>PEKARSKIS</t>
  </si>
  <si>
    <t>Rytis</t>
  </si>
  <si>
    <t>TRUMPA</t>
  </si>
  <si>
    <t>WITSEE</t>
  </si>
  <si>
    <t>Domantas</t>
  </si>
  <si>
    <t>ČEPULIS</t>
  </si>
  <si>
    <t>Emilijus</t>
  </si>
  <si>
    <t>GRIGORAITIS</t>
  </si>
  <si>
    <t>Jonas</t>
  </si>
  <si>
    <t>LAZAUSKAS</t>
  </si>
  <si>
    <t>Vitalijus</t>
  </si>
  <si>
    <t>MALYCHINAS</t>
  </si>
  <si>
    <t>NIKANOROVAS</t>
  </si>
  <si>
    <t>X12</t>
  </si>
  <si>
    <t>Romas</t>
  </si>
  <si>
    <t>JASEVIČIUS</t>
  </si>
  <si>
    <t>Vladas</t>
  </si>
  <si>
    <t>PETRAUSKAS</t>
  </si>
  <si>
    <t>ŠPAČKAUSKAS</t>
  </si>
  <si>
    <t>SURBLYS</t>
  </si>
  <si>
    <t>ZAJAUSKAS</t>
  </si>
  <si>
    <t>Aras</t>
  </si>
  <si>
    <t>YIT LIETUVA</t>
  </si>
  <si>
    <t>Aivaras</t>
  </si>
  <si>
    <t>ARNAŠIUS</t>
  </si>
  <si>
    <t>BARANAUSKAS</t>
  </si>
  <si>
    <t>Estela</t>
  </si>
  <si>
    <t>BARANAUSKIENĖ</t>
  </si>
  <si>
    <t>Robert</t>
  </si>
  <si>
    <t>CHODOROWSKI</t>
  </si>
  <si>
    <t>Gintautas</t>
  </si>
  <si>
    <t>RAUDYS</t>
  </si>
  <si>
    <t>RIMKUS</t>
  </si>
  <si>
    <t>C</t>
  </si>
  <si>
    <t>AMBER STRIKE</t>
  </si>
  <si>
    <t>Ramūnas</t>
  </si>
  <si>
    <t>ALEKSANDRAVIČIUS</t>
  </si>
  <si>
    <t>Pavel</t>
  </si>
  <si>
    <t>GRITSKEVICH</t>
  </si>
  <si>
    <t>Toimofej</t>
  </si>
  <si>
    <t>MURAVJOV</t>
  </si>
  <si>
    <t>Valerijus</t>
  </si>
  <si>
    <t>RAMANAUSKAS</t>
  </si>
  <si>
    <t>SIMANAUSKAS</t>
  </si>
  <si>
    <t>ŠPAK</t>
  </si>
  <si>
    <t>BOWLING STONES</t>
  </si>
  <si>
    <t>ABARAVIČIUS</t>
  </si>
  <si>
    <t>Eimantas</t>
  </si>
  <si>
    <t>DAUNORAS</t>
  </si>
  <si>
    <t>Josifas</t>
  </si>
  <si>
    <t>GIGEVIČIUS</t>
  </si>
  <si>
    <t>KIRKLYS</t>
  </si>
  <si>
    <t>Andrej</t>
  </si>
  <si>
    <t>MACIJEVSKI</t>
  </si>
  <si>
    <t>REMEIKA</t>
  </si>
  <si>
    <t>E.L.A.D.A.</t>
  </si>
  <si>
    <t>Aurelija</t>
  </si>
  <si>
    <t>KETURKAITĖ</t>
  </si>
  <si>
    <t>Danutė</t>
  </si>
  <si>
    <t>LEVANDAVIČIENĖ</t>
  </si>
  <si>
    <t>Edmundas</t>
  </si>
  <si>
    <t>LEVANDAVIČIUS</t>
  </si>
  <si>
    <t>ŠLENYS</t>
  </si>
  <si>
    <t>Michail</t>
  </si>
  <si>
    <t>STOROŽEV</t>
  </si>
  <si>
    <t>Laima</t>
  </si>
  <si>
    <t>ZINKEVIČIŪTĖ</t>
  </si>
  <si>
    <t>EKIPA</t>
  </si>
  <si>
    <t>BURBA</t>
  </si>
  <si>
    <t>GULBINAS</t>
  </si>
  <si>
    <t>KUPRYS</t>
  </si>
  <si>
    <t>Vaclovas</t>
  </si>
  <si>
    <t>MITKUS</t>
  </si>
  <si>
    <t>Linas</t>
  </si>
  <si>
    <t>Giedrė</t>
  </si>
  <si>
    <t>SIMONAUSKAITĖ KUPRĖ</t>
  </si>
  <si>
    <t>VALINSKIS</t>
  </si>
  <si>
    <t>KKK</t>
  </si>
  <si>
    <t>Silvestras</t>
  </si>
  <si>
    <t>BORAVSKIS</t>
  </si>
  <si>
    <t>GEDGAUDAS</t>
  </si>
  <si>
    <t>Leonas</t>
  </si>
  <si>
    <t>GRIŽAS</t>
  </si>
  <si>
    <t>KULIAVIENĖ</t>
  </si>
  <si>
    <t>Nerija</t>
  </si>
  <si>
    <t>MITRAUSKAITĖ</t>
  </si>
  <si>
    <t>Lina</t>
  </si>
  <si>
    <t>PALIANSKIENĖ</t>
  </si>
  <si>
    <t>KKK-2</t>
  </si>
  <si>
    <t>Edgaras</t>
  </si>
  <si>
    <t>BUKSNYS</t>
  </si>
  <si>
    <t>Modestas</t>
  </si>
  <si>
    <t>JAKAITIS</t>
  </si>
  <si>
    <t>JASILEVIČIUS</t>
  </si>
  <si>
    <t>Valerija</t>
  </si>
  <si>
    <t>PERMINAITĖ</t>
  </si>
  <si>
    <t>Eugenijus</t>
  </si>
  <si>
    <t>STANKEVIČIUS</t>
  </si>
  <si>
    <t>TALAČKA</t>
  </si>
  <si>
    <t>MAJAMIS</t>
  </si>
  <si>
    <t>Ričardas</t>
  </si>
  <si>
    <t>GREIFENBERGERIS</t>
  </si>
  <si>
    <t>KALPUKEVIČIUS</t>
  </si>
  <si>
    <t>Remigijus</t>
  </si>
  <si>
    <t>KARALIUS</t>
  </si>
  <si>
    <t>Justinas</t>
  </si>
  <si>
    <t>KAZLA</t>
  </si>
  <si>
    <t>MERKUŠEVIČIUS</t>
  </si>
  <si>
    <t>Valdas</t>
  </si>
  <si>
    <t>PINUS MARIS</t>
  </si>
  <si>
    <t>Ingrida</t>
  </si>
  <si>
    <t>JUŠKAITĖ</t>
  </si>
  <si>
    <t>KANDROTAS</t>
  </si>
  <si>
    <t>MARTINKUS</t>
  </si>
  <si>
    <t>NAUSĖDA</t>
  </si>
  <si>
    <t>RUZGAILA</t>
  </si>
  <si>
    <t>Vidas</t>
  </si>
  <si>
    <t>VALINČIUS</t>
  </si>
  <si>
    <t>SPLIT HAPPENS</t>
  </si>
  <si>
    <t>Vilija</t>
  </si>
  <si>
    <t>JAKŠTAITĖ</t>
  </si>
  <si>
    <t>Rimas</t>
  </si>
  <si>
    <t>MOISEVIČIUS</t>
  </si>
  <si>
    <t>Renatas</t>
  </si>
  <si>
    <t>MOTIEJŪNAS</t>
  </si>
  <si>
    <t>Lilija</t>
  </si>
  <si>
    <t>STANKEVIČIENĖ</t>
  </si>
  <si>
    <t>Anastasiya</t>
  </si>
  <si>
    <t>Zhukava</t>
  </si>
  <si>
    <t>STRAIKAS+</t>
  </si>
  <si>
    <t>BIKAS</t>
  </si>
  <si>
    <t>Edita</t>
  </si>
  <si>
    <t>BIKIENĖ</t>
  </si>
  <si>
    <t>Gediminas</t>
  </si>
  <si>
    <t>GUŽYS</t>
  </si>
  <si>
    <t>Guoda</t>
  </si>
  <si>
    <t>IVOŠKAITĖ</t>
  </si>
  <si>
    <t>Romualdas</t>
  </si>
  <si>
    <t>SKABICKAS</t>
  </si>
  <si>
    <t>Janina</t>
  </si>
  <si>
    <t>SKABICKIENĖ</t>
  </si>
  <si>
    <t>Šarūnas</t>
  </si>
  <si>
    <t>SURVILA</t>
  </si>
  <si>
    <t>SŪDUVIAI</t>
  </si>
  <si>
    <t>AKELAITIS</t>
  </si>
  <si>
    <t>Donatas</t>
  </si>
  <si>
    <t>BALTŪSIS</t>
  </si>
  <si>
    <t>IVINSKIS</t>
  </si>
  <si>
    <t>Sandra</t>
  </si>
  <si>
    <t>MASIUKAITĖ</t>
  </si>
  <si>
    <t>Eligijus</t>
  </si>
  <si>
    <t>MIKŠA</t>
  </si>
  <si>
    <t>Antanas</t>
  </si>
  <si>
    <t>PAKINKIS</t>
  </si>
  <si>
    <t>TAIKLIEJI</t>
  </si>
  <si>
    <t>Kristijonas</t>
  </si>
  <si>
    <t>JAKUTIS</t>
  </si>
  <si>
    <t>Nora</t>
  </si>
  <si>
    <t>NAVARDAUSKAITĖ</t>
  </si>
  <si>
    <t>Iveta</t>
  </si>
  <si>
    <t>SPILLER</t>
  </si>
  <si>
    <t>Lidija</t>
  </si>
  <si>
    <t>STANKŪNAITĖ</t>
  </si>
  <si>
    <t>Valužis</t>
  </si>
  <si>
    <t>PAPEČKYS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</si>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</sst>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\-mm\-dd"/>
    <numFmt numFmtId="165" formatCode="0.0"/>
    <numFmt numFmtId="166" formatCode="0;\-0;"/>
    <numFmt numFmtId="167" formatCode="0;\-0;0"/>
    <numFmt numFmtId="168" formatCode="@&quot; LYGA&quot;"/>
  </numFmts>
  <fonts count="51" x14ac:knownFonts="1">
    <font>
      <sz val="11"/>
      <color theme="1"/>
      <name val="Calibri"/>
      <family val="2"/>
      <scheme val="minor"/>
    </font>
    <font>
      <b/>
      <sz val="18"/>
      <color rgb="FF595959"/>
      <name val="Calibri Light"/>
    </font>
    <font>
      <b/>
      <i/>
      <sz val="16"/>
      <color rgb="FFFFFFFF"/>
      <name val="Calibri Light"/>
    </font>
    <font>
      <b/>
      <i/>
      <sz val="9"/>
      <color rgb="FFFFFFFF"/>
      <name val="Calibri Light"/>
    </font>
    <font>
      <b/>
      <sz val="9"/>
      <color rgb="FF767676"/>
      <name val="Calibri"/>
    </font>
    <font>
      <b/>
      <sz val="11"/>
      <color rgb="FF1F2328"/>
      <name val="Calibri"/>
    </font>
    <font>
      <b/>
      <sz val="10"/>
      <color rgb="FF1F2328"/>
      <name val="Calibri"/>
    </font>
    <font>
      <b/>
      <sz val="13"/>
      <color rgb="FF1F2328"/>
      <name val="Calibri"/>
    </font>
    <font>
      <b/>
      <sz val="18"/>
      <color rgb="FFFF0000"/>
      <name val="Calibri"/>
    </font>
    <font>
      <b/>
      <sz val="10"/>
      <color rgb="FFFFFFFF"/>
      <name val="Calibri"/>
    </font>
    <font>
      <b/>
      <sz val="13"/>
      <color rgb="FFFFFFFF"/>
      <name val="Calibri"/>
    </font>
    <font>
      <b/>
      <sz val="9"/>
      <color rgb="FF1F2328"/>
      <name val="Calibri"/>
    </font>
    <font>
      <b/>
      <sz val="7.5"/>
      <color rgb="FF1F2328"/>
      <name val="Calibri"/>
    </font>
    <font>
      <sz val="10"/>
      <color rgb="FF1F2328"/>
      <name val="Calibri"/>
    </font>
    <font>
      <b/>
      <sz val="10"/>
      <color rgb="FF767676"/>
      <name val="Calibri"/>
    </font>
    <font>
      <b/>
      <sz val="10"/>
      <color rgb="FF0070C0"/>
      <name val="Calibri"/>
    </font>
    <font>
      <b/>
      <sz val="12"/>
      <color rgb="FF1F2328"/>
      <name val="Calibri"/>
    </font>
    <font>
      <sz val="8"/>
      <color rgb="FFFF0000"/>
      <name val="Calibri"/>
    </font>
    <font>
      <b/>
      <sz val="9"/>
      <color rgb="FFFF0000"/>
      <name val="Calibri"/>
    </font>
    <font>
      <b/>
      <sz val="16"/>
      <color rgb="FF1F2328"/>
      <name val="Calibri"/>
    </font>
    <font>
      <b/>
      <sz val="24"/>
      <color rgb="FF1F2328"/>
      <name val="Calibri"/>
    </font>
    <font>
      <sz val="9"/>
      <color rgb="FF0F6CBD"/>
      <name val="Calibri"/>
    </font>
    <font>
      <b/>
      <sz val="12"/>
      <color rgb="FF0F6CBD"/>
      <name val="Calibri"/>
    </font>
    <font>
      <b/>
      <sz val="12"/>
      <color rgb="FF0070C0"/>
      <name val="Calibri"/>
    </font>
    <font>
      <sz val="8"/>
      <color rgb="FF767676"/>
      <name val="Calibri"/>
    </font>
    <font>
      <sz val="9"/>
      <color rgb="FF0070C0"/>
      <name val="Calibri"/>
    </font>
    <font>
      <b/>
      <sz val="14"/>
      <color rgb="FF0070C0"/>
      <name val="Calibri"/>
    </font>
    <font>
      <b/>
      <sz val="18"/>
      <color rgb="FF0070C0"/>
      <name val="Calibri"/>
    </font>
    <font>
      <b/>
      <sz val="15"/>
      <color rgb="FF1F2328"/>
      <name val="Calibri"/>
    </font>
    <font>
      <b/>
      <sz val="8.5"/>
      <color rgb="FF1F2328"/>
      <name val="Calibri"/>
    </font>
    <font>
      <sz val="11"/>
      <color rgb="FF1F2328"/>
      <name val="Calibri"/>
    </font>
    <font>
      <sz val="9"/>
      <color rgb="FF1F2328"/>
      <name val="Calibri"/>
    </font>
    <font>
      <b/>
      <sz val="12"/>
      <color rgb="FFFF0000"/>
      <name val="Calibri"/>
    </font>
    <font>
      <b/>
      <i/>
      <sz val="20"/>
      <color rgb="FFFFFFFF"/>
      <name val="Calibri Light"/>
    </font>
    <font>
      <b/>
      <sz val="15"/>
      <color rgb="FF1F2328"/>
      <name val="Calibri Light"/>
    </font>
    <font>
      <b/>
      <sz val="10"/>
      <color rgb="FFFF0000"/>
      <name val="Calibri"/>
    </font>
    <font>
      <b/>
      <sz val="11"/>
      <color rgb="FF767676"/>
      <name val="Calibri"/>
    </font>
    <font>
      <b/>
      <sz val="16"/>
      <color rgb="FF595959"/>
      <name val="Calibri Light"/>
    </font>
    <font>
      <b/>
      <sz val="14"/>
      <color rgb="FF1F2328"/>
      <name val="Calibri"/>
    </font>
    <font>
      <b/>
      <sz val="11"/>
      <color rgb="FFFF0000"/>
      <name val="Calibri"/>
    </font>
    <font>
      <b/>
      <sz val="16"/>
      <color rgb="FFFFFFFF"/>
      <name val="Calibri Light"/>
    </font>
    <font>
      <sz val="9.5"/>
      <color rgb="FF1F2328"/>
      <name val="Calibri"/>
    </font>
    <font>
      <b/>
      <sz val="20"/>
      <color rgb="FF767676"/>
      <name val="Calibri"/>
    </font>
    <font>
      <i/>
      <sz val="9"/>
      <color rgb="FF767676"/>
      <name val="Calibri"/>
    </font>
    <font>
      <b/>
      <sz val="14"/>
      <color rgb="FFFFFFFF"/>
      <name val="Calibri Light"/>
    </font>
    <font>
      <i/>
      <sz val="9"/>
      <color rgb="FF1F2328"/>
      <name val="Calibri"/>
    </font>
    <font>
      <sz val="9"/>
      <color rgb="FF767676"/>
      <name val="Calibri"/>
    </font>
    <font>
      <i/>
      <sz val="9"/>
      <color rgb="FF7F6000"/>
      <name val="Calibri"/>
    </font>
    <font>
      <b/>
      <sz val="8"/>
      <color rgb="FF1F2328"/>
      <name val="Calibri"/>
    </font>
    <font>
      <b/>
      <sz val="9"/>
      <color rgb="FFFFFFFF"/>
      <name val="Calibri"/>
    </font>
    <font>
      <sz val="10"/>
      <color rgb="FF1F2328"/>
      <name val="Calibri"/>
      <family val="2"/>
      <charset val="186"/>
    </font>
  </fonts>
  <fills count="10">
    <fill>
      <patternFill patternType="none"/>
    </fill>
    <fill>
      <patternFill patternType="gray125"/>
    </fill>
    <fill>
      <patternFill patternType="solid">
        <fgColor rgb="FF595959"/>
      </patternFill>
    </fill>
    <fill>
      <patternFill patternType="solid">
        <fgColor rgb="FFF2F2F2"/>
      </patternFill>
    </fill>
    <fill>
      <patternFill patternType="solid">
        <fgColor rgb="FFD9D9D9"/>
      </patternFill>
    </fill>
    <fill>
      <patternFill patternType="solid">
        <fgColor rgb="FF2E75B6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ED7D31"/>
      </patternFill>
    </fill>
  </fills>
  <borders count="139">
    <border>
      <left/>
      <right/>
      <top/>
      <bottom/>
      <diagonal/>
    </border>
    <border>
      <left style="thin">
        <color rgb="FF2F4A6D"/>
      </left>
      <right style="thin">
        <color rgb="FF2F4A6D"/>
      </right>
      <top style="thin">
        <color rgb="FF2F4A6D"/>
      </top>
      <bottom style="thin">
        <color rgb="FF2F4A6D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  <border>
      <left/>
      <right/>
      <top/>
      <bottom style="thin">
        <color rgb="FF1F2328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2F4A6D"/>
      </left>
      <right style="thin">
        <color rgb="FF2F4A6D"/>
      </right>
      <top style="thin">
        <color rgb="FF2F4A6D"/>
      </top>
      <bottom/>
      <diagonal/>
    </border>
    <border>
      <left style="thin">
        <color rgb="FF2F4A6D"/>
      </left>
      <right style="thin">
        <color rgb="FF2F4A6D"/>
      </right>
      <top/>
      <bottom style="thin">
        <color rgb="FF2F4A6D"/>
      </bottom>
      <diagonal/>
    </border>
    <border>
      <left/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2F4A6D"/>
      </left>
      <right/>
      <top style="thin">
        <color rgb="FF2F4A6D"/>
      </top>
      <bottom style="thin">
        <color rgb="FF2F4A6D"/>
      </bottom>
      <diagonal/>
    </border>
    <border>
      <left/>
      <right/>
      <top style="thin">
        <color rgb="FF2F4A6D"/>
      </top>
      <bottom style="thin">
        <color rgb="FF2F4A6D"/>
      </bottom>
      <diagonal/>
    </border>
    <border>
      <left/>
      <right style="thin">
        <color rgb="FF2F4A6D"/>
      </right>
      <top style="thin">
        <color rgb="FF2F4A6D"/>
      </top>
      <bottom style="thin">
        <color rgb="FF2F4A6D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8CCE4"/>
      </bottom>
      <diagonal/>
    </border>
    <border>
      <left style="thin">
        <color rgb="FFBFBFBF"/>
      </left>
      <right/>
      <top style="thin">
        <color rgb="FFB8CCE4"/>
      </top>
      <bottom style="thin">
        <color rgb="FFBFBFBF"/>
      </bottom>
      <diagonal/>
    </border>
    <border>
      <left/>
      <right style="thin">
        <color rgb="FFB8CCE4"/>
      </right>
      <top style="thin">
        <color rgb="FFBFBFBF"/>
      </top>
      <bottom style="thin">
        <color rgb="FFBFBFBF"/>
      </bottom>
      <diagonal/>
    </border>
    <border>
      <left style="thin">
        <color rgb="FFB8CCE4"/>
      </left>
      <right/>
      <top/>
      <bottom/>
      <diagonal/>
    </border>
    <border>
      <left style="medium">
        <color rgb="FF2F4A6D"/>
      </left>
      <right/>
      <top style="medium">
        <color rgb="FF2F4A6D"/>
      </top>
      <bottom/>
      <diagonal/>
    </border>
    <border>
      <left/>
      <right/>
      <top style="medium">
        <color rgb="FF2F4A6D"/>
      </top>
      <bottom/>
      <diagonal/>
    </border>
    <border>
      <left/>
      <right/>
      <top style="medium">
        <color rgb="FF2F4A6D"/>
      </top>
      <bottom/>
      <diagonal/>
    </border>
    <border>
      <left/>
      <right/>
      <top style="medium">
        <color rgb="FF2F4A6D"/>
      </top>
      <bottom/>
      <diagonal/>
    </border>
    <border>
      <left/>
      <right style="medium">
        <color rgb="FF2F4A6D"/>
      </right>
      <top style="medium">
        <color rgb="FF2F4A6D"/>
      </top>
      <bottom/>
      <diagonal/>
    </border>
    <border>
      <left style="medium">
        <color rgb="FF2F4A6D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2F4A6D"/>
      </right>
      <top style="thin">
        <color rgb="FF808080"/>
      </top>
      <bottom/>
      <diagonal/>
    </border>
    <border>
      <left style="medium">
        <color rgb="FF2F4A6D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2F4A6D"/>
      </right>
      <top/>
      <bottom style="thin">
        <color rgb="FF808080"/>
      </bottom>
      <diagonal/>
    </border>
    <border>
      <left style="medium">
        <color rgb="FF2F4A6D"/>
      </left>
      <right style="thin">
        <color rgb="FF2E75B6"/>
      </right>
      <top style="thin">
        <color rgb="FF2E75B6"/>
      </top>
      <bottom/>
      <diagonal/>
    </border>
    <border>
      <left style="thin">
        <color rgb="FFBFBFBF"/>
      </left>
      <right style="medium">
        <color rgb="FF2F4A6D"/>
      </right>
      <top style="thin">
        <color rgb="FFBFBFBF"/>
      </top>
      <bottom style="thin">
        <color rgb="FFBFBFBF"/>
      </bottom>
      <diagonal/>
    </border>
    <border>
      <left style="medium">
        <color rgb="FF2F4A6D"/>
      </left>
      <right style="thin">
        <color rgb="FF2E75B6"/>
      </right>
      <top/>
      <bottom/>
      <diagonal/>
    </border>
    <border>
      <left style="thin">
        <color rgb="FFBFBFBF"/>
      </left>
      <right style="medium">
        <color rgb="FF2F4A6D"/>
      </right>
      <top style="thin">
        <color rgb="FFBFBFBF"/>
      </top>
      <bottom style="thin">
        <color rgb="FFB8CCE4"/>
      </bottom>
      <diagonal/>
    </border>
    <border>
      <left style="thin">
        <color rgb="FF2F4A6D"/>
      </left>
      <right style="medium">
        <color rgb="FF2F4A6D"/>
      </right>
      <top style="thin">
        <color rgb="FF2F4A6D"/>
      </top>
      <bottom/>
      <diagonal/>
    </border>
    <border>
      <left style="thin">
        <color rgb="FF2F4A6D"/>
      </left>
      <right style="medium">
        <color rgb="FF2F4A6D"/>
      </right>
      <top/>
      <bottom style="thin">
        <color rgb="FF2F4A6D"/>
      </bottom>
      <diagonal/>
    </border>
    <border>
      <left style="thin">
        <color rgb="FF2F4A6D"/>
      </left>
      <right style="medium">
        <color rgb="FF2F4A6D"/>
      </right>
      <top style="thin">
        <color rgb="FF2F4A6D"/>
      </top>
      <bottom style="thin">
        <color rgb="FF2F4A6D"/>
      </bottom>
      <diagonal/>
    </border>
    <border>
      <left/>
      <right style="medium">
        <color rgb="FF2F4A6D"/>
      </right>
      <top style="thin">
        <color rgb="FFB8CCE4"/>
      </top>
      <bottom style="thin">
        <color rgb="FFBFBFBF"/>
      </bottom>
      <diagonal/>
    </border>
    <border>
      <left style="thin">
        <color rgb="FF2F4A6D"/>
      </left>
      <right style="medium">
        <color rgb="FF2F4A6D"/>
      </right>
      <top/>
      <bottom/>
      <diagonal/>
    </border>
    <border>
      <left style="medium">
        <color rgb="FF2F4A6D"/>
      </left>
      <right style="thin">
        <color rgb="FF2E75B6"/>
      </right>
      <top/>
      <bottom style="medium">
        <color rgb="FF2F4A6D"/>
      </bottom>
      <diagonal/>
    </border>
    <border>
      <left style="thin">
        <color rgb="FFBFBFBF"/>
      </left>
      <right/>
      <top style="thin">
        <color rgb="FFBFBFBF"/>
      </top>
      <bottom style="medium">
        <color rgb="FF2F4A6D"/>
      </bottom>
      <diagonal/>
    </border>
    <border>
      <left/>
      <right style="thin">
        <color rgb="FFBFBFBF"/>
      </right>
      <top style="thin">
        <color rgb="FFBFBFBF"/>
      </top>
      <bottom style="medium">
        <color rgb="FF2F4A6D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2F4A6D"/>
      </bottom>
      <diagonal/>
    </border>
    <border>
      <left style="thin">
        <color rgb="FF2F4A6D"/>
      </left>
      <right style="medium">
        <color rgb="FF2F4A6D"/>
      </right>
      <top/>
      <bottom style="medium">
        <color rgb="FF2F4A6D"/>
      </bottom>
      <diagonal/>
    </border>
    <border>
      <left/>
      <right/>
      <top/>
      <bottom style="thin">
        <color rgb="FFB8CCE4"/>
      </bottom>
      <diagonal/>
    </border>
    <border>
      <left/>
      <right/>
      <top style="thin">
        <color rgb="FFB8CCE4"/>
      </top>
      <bottom/>
      <diagonal/>
    </border>
    <border>
      <left style="medium">
        <color rgb="FF2F4A6D"/>
      </left>
      <right style="thin">
        <color rgb="FFED7D31"/>
      </right>
      <top style="thin">
        <color rgb="FFED7D31"/>
      </top>
      <bottom/>
      <diagonal/>
    </border>
    <border>
      <left style="medium">
        <color rgb="FF2F4A6D"/>
      </left>
      <right style="thin">
        <color rgb="FFED7D31"/>
      </right>
      <top/>
      <bottom/>
      <diagonal/>
    </border>
    <border>
      <left style="medium">
        <color rgb="FF2F4A6D"/>
      </left>
      <right style="thin">
        <color rgb="FFED7D31"/>
      </right>
      <top/>
      <bottom style="medium">
        <color rgb="FF2F4A6D"/>
      </bottom>
      <diagonal/>
    </border>
    <border>
      <left/>
      <right/>
      <top style="thin">
        <color rgb="FFB8CCE4"/>
      </top>
      <bottom style="thin">
        <color rgb="FFB8CCE4"/>
      </bottom>
      <diagonal/>
    </border>
    <border>
      <left style="thin">
        <color rgb="FFBFBFBF"/>
      </left>
      <right style="medium">
        <color rgb="FF2F4A6D"/>
      </right>
      <top style="thin">
        <color rgb="FFBFBFBF"/>
      </top>
      <bottom style="medium">
        <color rgb="FF2F4A6D"/>
      </bottom>
      <diagonal/>
    </border>
    <border>
      <left style="thin">
        <color rgb="FFBF9000"/>
      </left>
      <right/>
      <top style="thin">
        <color rgb="FFBF9000"/>
      </top>
      <bottom style="thin">
        <color rgb="FFBF9000"/>
      </bottom>
      <diagonal/>
    </border>
    <border>
      <left/>
      <right/>
      <top style="thin">
        <color rgb="FFBF9000"/>
      </top>
      <bottom style="thin">
        <color rgb="FFBF9000"/>
      </bottom>
      <diagonal/>
    </border>
    <border>
      <left/>
      <right style="thin">
        <color rgb="FFBF9000"/>
      </right>
      <top style="thin">
        <color rgb="FFBF9000"/>
      </top>
      <bottom style="thin">
        <color rgb="FFBF9000"/>
      </bottom>
      <diagonal/>
    </border>
    <border>
      <left style="thin">
        <color rgb="FF2F4A6D"/>
      </left>
      <right/>
      <top style="thin">
        <color rgb="FF2F4A6D"/>
      </top>
      <bottom/>
      <diagonal/>
    </border>
    <border>
      <left/>
      <right style="thin">
        <color rgb="FF2F4A6D"/>
      </right>
      <top style="thin">
        <color rgb="FF2F4A6D"/>
      </top>
      <bottom/>
      <diagonal/>
    </border>
    <border>
      <left style="thin">
        <color rgb="FF2F4A6D"/>
      </left>
      <right/>
      <top/>
      <bottom/>
      <diagonal/>
    </border>
    <border>
      <left/>
      <right style="thin">
        <color rgb="FF2F4A6D"/>
      </right>
      <top/>
      <bottom/>
      <diagonal/>
    </border>
    <border>
      <left style="thin">
        <color rgb="FF2F4A6D"/>
      </left>
      <right/>
      <top/>
      <bottom style="thin">
        <color rgb="FF2F4A6D"/>
      </bottom>
      <diagonal/>
    </border>
    <border>
      <left/>
      <right style="thin">
        <color rgb="FF2F4A6D"/>
      </right>
      <top/>
      <bottom style="thin">
        <color rgb="FF2F4A6D"/>
      </bottom>
      <diagonal/>
    </border>
    <border>
      <left style="thin">
        <color rgb="FF2F4A6D"/>
      </left>
      <right style="thin">
        <color rgb="FF808080"/>
      </right>
      <top style="thin">
        <color rgb="FF2F4A6D"/>
      </top>
      <bottom/>
      <diagonal/>
    </border>
    <border>
      <left style="thin">
        <color rgb="FF808080"/>
      </left>
      <right style="thin">
        <color rgb="FF808080"/>
      </right>
      <top style="thin">
        <color rgb="FF2F4A6D"/>
      </top>
      <bottom/>
      <diagonal/>
    </border>
    <border>
      <left style="thin">
        <color rgb="FF808080"/>
      </left>
      <right/>
      <top style="thin">
        <color rgb="FF2F4A6D"/>
      </top>
      <bottom style="thin">
        <color rgb="FF808080"/>
      </bottom>
      <diagonal/>
    </border>
    <border>
      <left/>
      <right/>
      <top style="thin">
        <color rgb="FF2F4A6D"/>
      </top>
      <bottom style="thin">
        <color rgb="FF808080"/>
      </bottom>
      <diagonal/>
    </border>
    <border>
      <left/>
      <right style="thin">
        <color rgb="FF2F4A6D"/>
      </right>
      <top style="thin">
        <color rgb="FF2F4A6D"/>
      </top>
      <bottom style="thin">
        <color rgb="FF808080"/>
      </bottom>
      <diagonal/>
    </border>
    <border>
      <left style="thin">
        <color rgb="FF2F4A6D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2F4A6D"/>
      </right>
      <top style="thin">
        <color rgb="FF808080"/>
      </top>
      <bottom style="thin">
        <color rgb="FF808080"/>
      </bottom>
      <diagonal/>
    </border>
    <border>
      <left style="thin">
        <color rgb="FF2F4A6D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2F4A6D"/>
      </right>
      <top style="thin">
        <color rgb="FFBFBFBF"/>
      </top>
      <bottom style="thin">
        <color rgb="FFBFBFBF"/>
      </bottom>
      <diagonal/>
    </border>
    <border>
      <left style="thin">
        <color rgb="FF2F4A6D"/>
      </left>
      <right style="thin">
        <color rgb="FFBFBFBF"/>
      </right>
      <top style="thin">
        <color rgb="FFBFBFBF"/>
      </top>
      <bottom style="thin">
        <color rgb="FF2F4A6D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2F4A6D"/>
      </bottom>
      <diagonal/>
    </border>
    <border>
      <left style="thin">
        <color rgb="FFBFBFBF"/>
      </left>
      <right style="thin">
        <color rgb="FF2F4A6D"/>
      </right>
      <top style="thin">
        <color rgb="FFBFBFBF"/>
      </top>
      <bottom style="thin">
        <color rgb="FF2F4A6D"/>
      </bottom>
      <diagonal/>
    </border>
    <border>
      <left style="thin">
        <color rgb="FFBF9000"/>
      </left>
      <right/>
      <top style="thin">
        <color rgb="FFBF9000"/>
      </top>
      <bottom style="thin">
        <color rgb="FFB8CCE4"/>
      </bottom>
      <diagonal/>
    </border>
    <border>
      <left/>
      <right/>
      <top style="thin">
        <color rgb="FFBF9000"/>
      </top>
      <bottom style="thin">
        <color rgb="FFB8CCE4"/>
      </bottom>
      <diagonal/>
    </border>
    <border>
      <left/>
      <right style="thin">
        <color rgb="FFBF9000"/>
      </right>
      <top style="thin">
        <color rgb="FFBF9000"/>
      </top>
      <bottom style="thin">
        <color rgb="FFB8CCE4"/>
      </bottom>
      <diagonal/>
    </border>
    <border>
      <left style="thin">
        <color rgb="FF2F4A6D"/>
      </left>
      <right/>
      <top style="thin">
        <color rgb="FF2F4A6D"/>
      </top>
      <bottom style="thin">
        <color rgb="FF808080"/>
      </bottom>
      <diagonal/>
    </border>
    <border>
      <left style="thin">
        <color rgb="FF2F4A6D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2F4A6D"/>
      </right>
      <top style="thin">
        <color rgb="FFBFBFBF"/>
      </top>
      <bottom style="thin">
        <color rgb="FFBFBFBF"/>
      </bottom>
      <diagonal/>
    </border>
    <border>
      <left style="thin">
        <color rgb="FF2F4A6D"/>
      </left>
      <right/>
      <top style="thin">
        <color rgb="FFBFBFBF"/>
      </top>
      <bottom style="thin">
        <color rgb="FF2F4A6D"/>
      </bottom>
      <diagonal/>
    </border>
    <border>
      <left/>
      <right/>
      <top style="thin">
        <color rgb="FFBFBFBF"/>
      </top>
      <bottom style="thin">
        <color rgb="FF2F4A6D"/>
      </bottom>
      <diagonal/>
    </border>
    <border>
      <left/>
      <right style="thin">
        <color rgb="FF2F4A6D"/>
      </right>
      <top style="thin">
        <color rgb="FFBFBFBF"/>
      </top>
      <bottom style="thin">
        <color rgb="FF2F4A6D"/>
      </bottom>
      <diagonal/>
    </border>
    <border>
      <left/>
      <right/>
      <top/>
      <bottom style="thin">
        <color rgb="FFB8CCE4"/>
      </bottom>
      <diagonal/>
    </border>
    <border>
      <left/>
      <right/>
      <top/>
      <bottom style="thin">
        <color rgb="FFB8CCE4"/>
      </bottom>
      <diagonal/>
    </border>
    <border>
      <left/>
      <right/>
      <top/>
      <bottom style="thin">
        <color rgb="FFB8CCE4"/>
      </bottom>
      <diagonal/>
    </border>
    <border>
      <left/>
      <right style="thin">
        <color rgb="FFB8CCE4"/>
      </right>
      <top style="thin">
        <color rgb="FF2F4A6D"/>
      </top>
      <bottom style="thin">
        <color rgb="FF808080"/>
      </bottom>
      <diagonal/>
    </border>
    <border>
      <left/>
      <right style="thin">
        <color rgb="FFB8CCE4"/>
      </right>
      <top style="thin">
        <color rgb="FFBFBFBF"/>
      </top>
      <bottom style="thin">
        <color rgb="FF2F4A6D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2F4A6D"/>
      </top>
      <bottom style="thin">
        <color rgb="FFBFBFBF"/>
      </bottom>
      <diagonal/>
    </border>
    <border>
      <left/>
      <right/>
      <top style="thin">
        <color rgb="FF2F4A6D"/>
      </top>
      <bottom/>
      <diagonal/>
    </border>
    <border>
      <left style="thin">
        <color rgb="FFBFBFBF"/>
      </left>
      <right/>
      <top style="thin">
        <color rgb="FF2F4A6D"/>
      </top>
      <bottom/>
      <diagonal/>
    </border>
    <border>
      <left style="thin">
        <color rgb="FF2F4A6D"/>
      </left>
      <right style="thin">
        <color rgb="FF808080"/>
      </right>
      <top/>
      <bottom/>
      <diagonal/>
    </border>
    <border>
      <left/>
      <right/>
      <top/>
      <bottom/>
      <diagonal/>
    </border>
    <border>
      <left style="thin">
        <color rgb="FF2F4A6D"/>
      </left>
      <right style="thin">
        <color rgb="FF808080"/>
      </right>
      <top/>
      <bottom style="thin">
        <color rgb="FF2F4A6D"/>
      </bottom>
      <diagonal/>
    </border>
    <border>
      <left/>
      <right/>
      <top/>
      <bottom style="thin">
        <color rgb="FF2F4A6D"/>
      </bottom>
      <diagonal/>
    </border>
    <border>
      <left style="thin">
        <color rgb="FFBFBFBF"/>
      </left>
      <right/>
      <top/>
      <bottom style="thin">
        <color rgb="FF2F4A6D"/>
      </bottom>
      <diagonal/>
    </border>
    <border>
      <left style="thin">
        <color rgb="FF808080"/>
      </left>
      <right style="thin">
        <color rgb="FF808080"/>
      </right>
      <top/>
      <bottom style="thin">
        <color rgb="FFB8CCE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B8CCE4"/>
      </bottom>
      <diagonal/>
    </border>
    <border>
      <left style="thin">
        <color rgb="FF808080"/>
      </left>
      <right/>
      <top/>
      <bottom style="thin">
        <color rgb="FFB8CCE4"/>
      </bottom>
      <diagonal/>
    </border>
    <border>
      <left/>
      <right style="thin">
        <color rgb="FF808080"/>
      </right>
      <top/>
      <bottom style="thin">
        <color rgb="FFB8CCE4"/>
      </bottom>
      <diagonal/>
    </border>
    <border>
      <left style="thin">
        <color rgb="FFBFBFBF"/>
      </left>
      <right/>
      <top style="thin">
        <color rgb="FFBFBFBF"/>
      </top>
      <bottom style="thin">
        <color rgb="FFB8CCE4"/>
      </bottom>
      <diagonal/>
    </border>
    <border>
      <left/>
      <right/>
      <top style="thin">
        <color rgb="FFBFBFBF"/>
      </top>
      <bottom style="thin">
        <color rgb="FFB8CCE4"/>
      </bottom>
      <diagonal/>
    </border>
    <border>
      <left style="thin">
        <color rgb="FF2F4A6D"/>
      </left>
      <right style="thin">
        <color rgb="FF808080"/>
      </right>
      <top style="thin">
        <color rgb="FF2F4A6D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2F4A6D"/>
      </top>
      <bottom style="thin">
        <color rgb="FF808080"/>
      </bottom>
      <diagonal/>
    </border>
    <border>
      <left style="thin">
        <color rgb="FF808080"/>
      </left>
      <right style="thin">
        <color rgb="FF2F4A6D"/>
      </right>
      <top style="thin">
        <color rgb="FF2F4A6D"/>
      </top>
      <bottom style="thin">
        <color rgb="FF808080"/>
      </bottom>
      <diagonal/>
    </border>
    <border>
      <left/>
      <right style="thin">
        <color rgb="FF2F4A6D"/>
      </right>
      <top/>
      <bottom/>
      <diagonal/>
    </border>
    <border>
      <left/>
      <right style="thin">
        <color rgb="FF2F4A6D"/>
      </right>
      <top/>
      <bottom style="thin">
        <color rgb="FF2F4A6D"/>
      </bottom>
      <diagonal/>
    </border>
    <border>
      <left/>
      <right style="thin">
        <color rgb="FFB8CCE4"/>
      </right>
      <top/>
      <bottom/>
      <diagonal/>
    </border>
    <border>
      <left style="thin">
        <color rgb="FF2F4A6D"/>
      </left>
      <right style="thin">
        <color rgb="FF2F4A6D"/>
      </right>
      <top style="thin">
        <color rgb="FF2F4A6D"/>
      </top>
      <bottom style="thin">
        <color rgb="FF808080"/>
      </bottom>
      <diagonal/>
    </border>
    <border>
      <left style="thin">
        <color rgb="FF2F4A6D"/>
      </left>
      <right style="thin">
        <color rgb="FF2F4A6D"/>
      </right>
      <top style="thin">
        <color rgb="FFBFBFBF"/>
      </top>
      <bottom style="thin">
        <color rgb="FFBFBFBF"/>
      </bottom>
      <diagonal/>
    </border>
    <border>
      <left style="thin">
        <color rgb="FF2F4A6D"/>
      </left>
      <right style="thin">
        <color rgb="FF2F4A6D"/>
      </right>
      <top style="thin">
        <color rgb="FFBFBFBF"/>
      </top>
      <bottom style="thin">
        <color rgb="FF2F4A6D"/>
      </bottom>
      <diagonal/>
    </border>
    <border>
      <left style="thin">
        <color rgb="FF808080"/>
      </left>
      <right style="thin">
        <color rgb="FFB8CCE4"/>
      </right>
      <top style="thin">
        <color rgb="FF2F4A6D"/>
      </top>
      <bottom style="thin">
        <color rgb="FF808080"/>
      </bottom>
      <diagonal/>
    </border>
    <border>
      <left style="thin">
        <color rgb="FFBFBFBF"/>
      </left>
      <right style="thin">
        <color rgb="FFB8CCE4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8CCE4"/>
      </right>
      <top style="thin">
        <color rgb="FFBFBFBF"/>
      </top>
      <bottom style="thin">
        <color rgb="FF2F4A6D"/>
      </bottom>
      <diagonal/>
    </border>
    <border>
      <left style="thin">
        <color rgb="FF808080"/>
      </left>
      <right/>
      <top style="thin">
        <color rgb="FF808080"/>
      </top>
      <bottom style="thin">
        <color rgb="FFB8CCE4"/>
      </bottom>
      <diagonal/>
    </border>
    <border>
      <left style="thin">
        <color rgb="FFB8CCE4"/>
      </left>
      <right style="thin">
        <color rgb="FFB8CCE4"/>
      </right>
      <top/>
      <bottom/>
      <diagonal/>
    </border>
    <border>
      <left/>
      <right/>
      <top style="thin">
        <color rgb="FF808080"/>
      </top>
      <bottom style="thin">
        <color rgb="FFB8CCE4"/>
      </bottom>
      <diagonal/>
    </border>
    <border>
      <left/>
      <right style="thin">
        <color rgb="FF808080"/>
      </right>
      <top style="thin">
        <color rgb="FF808080"/>
      </top>
      <bottom style="thin">
        <color rgb="FFB8CCE4"/>
      </bottom>
      <diagonal/>
    </border>
    <border>
      <left style="thin">
        <color rgb="FF2F4A6D"/>
      </left>
      <right style="thin">
        <color rgb="FFB8CCE4"/>
      </right>
      <top style="thin">
        <color rgb="FF2F4A6D"/>
      </top>
      <bottom style="thin">
        <color rgb="FF808080"/>
      </bottom>
      <diagonal/>
    </border>
    <border>
      <left style="thin">
        <color rgb="FF2F4A6D"/>
      </left>
      <right style="thin">
        <color rgb="FFB8CCE4"/>
      </right>
      <top style="thin">
        <color rgb="FFBFBFBF"/>
      </top>
      <bottom style="thin">
        <color rgb="FFBFBFBF"/>
      </bottom>
      <diagonal/>
    </border>
    <border>
      <left style="thin">
        <color rgb="FF2F4A6D"/>
      </left>
      <right style="thin">
        <color rgb="FFB8CCE4"/>
      </right>
      <top style="thin">
        <color rgb="FFBFBFBF"/>
      </top>
      <bottom style="thin">
        <color rgb="FF2F4A6D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32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 shrinkToFit="1"/>
    </xf>
    <xf numFmtId="0" fontId="0" fillId="0" borderId="63" xfId="0" applyBorder="1"/>
    <xf numFmtId="0" fontId="0" fillId="0" borderId="39" xfId="0" applyBorder="1"/>
    <xf numFmtId="0" fontId="11" fillId="0" borderId="0" xfId="0" applyFont="1"/>
    <xf numFmtId="0" fontId="12" fillId="4" borderId="4" xfId="0" applyFont="1" applyFill="1" applyBorder="1" applyAlignment="1">
      <alignment horizontal="center" vertical="center" shrinkToFit="1"/>
    </xf>
    <xf numFmtId="1" fontId="31" fillId="0" borderId="0" xfId="0" applyNumberFormat="1" applyFont="1"/>
    <xf numFmtId="0" fontId="13" fillId="6" borderId="3" xfId="0" applyFont="1" applyFill="1" applyBorder="1" applyAlignment="1">
      <alignment horizontal="left" vertical="center" indent="1" shrinkToFit="1"/>
    </xf>
    <xf numFmtId="1" fontId="14" fillId="6" borderId="3" xfId="0" applyNumberFormat="1" applyFont="1" applyFill="1" applyBorder="1" applyAlignment="1">
      <alignment horizontal="center" vertical="center" shrinkToFit="1"/>
    </xf>
    <xf numFmtId="49" fontId="11" fillId="6" borderId="3" xfId="0" applyNumberFormat="1" applyFont="1" applyFill="1" applyBorder="1" applyAlignment="1" applyProtection="1">
      <alignment horizontal="center" vertical="center" shrinkToFit="1"/>
      <protection locked="0"/>
    </xf>
    <xf numFmtId="1" fontId="5" fillId="6" borderId="3" xfId="0" applyNumberFormat="1" applyFont="1" applyFill="1" applyBorder="1" applyAlignment="1" applyProtection="1">
      <alignment horizontal="center" vertical="center" shrinkToFit="1"/>
      <protection locked="0"/>
    </xf>
    <xf numFmtId="1" fontId="15" fillId="4" borderId="3" xfId="0" applyNumberFormat="1" applyFont="1" applyFill="1" applyBorder="1" applyAlignment="1">
      <alignment horizontal="center" vertical="center" shrinkToFit="1"/>
    </xf>
    <xf numFmtId="165" fontId="16" fillId="4" borderId="50" xfId="0" applyNumberFormat="1" applyFont="1" applyFill="1" applyBorder="1" applyAlignment="1">
      <alignment horizontal="center" vertical="center" shrinkToFit="1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3" fillId="3" borderId="3" xfId="0" applyFont="1" applyFill="1" applyBorder="1" applyAlignment="1">
      <alignment horizontal="left" vertical="center" indent="1" shrinkToFit="1"/>
    </xf>
    <xf numFmtId="1" fontId="14" fillId="3" borderId="3" xfId="0" applyNumberFormat="1" applyFont="1" applyFill="1" applyBorder="1" applyAlignment="1">
      <alignment horizontal="center" vertical="center" shrinkToFit="1"/>
    </xf>
    <xf numFmtId="1" fontId="15" fillId="4" borderId="36" xfId="0" applyNumberFormat="1" applyFont="1" applyFill="1" applyBorder="1" applyAlignment="1">
      <alignment horizontal="center" vertical="center" shrinkToFit="1"/>
    </xf>
    <xf numFmtId="165" fontId="16" fillId="4" borderId="52" xfId="0" applyNumberFormat="1" applyFont="1" applyFill="1" applyBorder="1" applyAlignment="1">
      <alignment horizontal="center" vertical="center" shrinkToFit="1"/>
    </xf>
    <xf numFmtId="0" fontId="21" fillId="4" borderId="1" xfId="0" applyFont="1" applyFill="1" applyBorder="1" applyAlignment="1">
      <alignment horizontal="right" vertical="center" shrinkToFit="1"/>
    </xf>
    <xf numFmtId="165" fontId="22" fillId="4" borderId="55" xfId="0" applyNumberFormat="1" applyFont="1" applyFill="1" applyBorder="1" applyAlignment="1">
      <alignment horizontal="center" vertical="center" shrinkToFit="1"/>
    </xf>
    <xf numFmtId="1" fontId="26" fillId="4" borderId="61" xfId="0" applyNumberFormat="1" applyFont="1" applyFill="1" applyBorder="1" applyAlignment="1">
      <alignment horizontal="center" vertical="center" shrinkToFit="1"/>
    </xf>
    <xf numFmtId="0" fontId="0" fillId="0" borderId="68" xfId="0" applyBorder="1"/>
    <xf numFmtId="0" fontId="0" fillId="0" borderId="64" xfId="0" applyBorder="1"/>
    <xf numFmtId="1" fontId="5" fillId="4" borderId="3" xfId="0" applyNumberFormat="1" applyFont="1" applyFill="1" applyBorder="1" applyAlignment="1">
      <alignment horizontal="center" vertical="center" shrinkToFit="1"/>
    </xf>
    <xf numFmtId="165" fontId="30" fillId="4" borderId="50" xfId="0" applyNumberFormat="1" applyFont="1" applyFill="1" applyBorder="1" applyAlignment="1">
      <alignment horizontal="center" vertical="center" shrinkToFit="1"/>
    </xf>
    <xf numFmtId="1" fontId="5" fillId="4" borderId="61" xfId="0" applyNumberFormat="1" applyFont="1" applyFill="1" applyBorder="1" applyAlignment="1">
      <alignment horizontal="center" vertical="center" shrinkToFit="1"/>
    </xf>
    <xf numFmtId="165" fontId="30" fillId="4" borderId="69" xfId="0" applyNumberFormat="1" applyFont="1" applyFill="1" applyBorder="1" applyAlignment="1">
      <alignment horizontal="center" vertical="center" shrinkToFit="1"/>
    </xf>
    <xf numFmtId="0" fontId="39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5" fillId="8" borderId="5" xfId="0" applyFont="1" applyFill="1" applyBorder="1" applyAlignment="1" applyProtection="1">
      <alignment horizontal="center" vertical="center" shrinkToFit="1"/>
      <protection locked="0"/>
    </xf>
    <xf numFmtId="0" fontId="24" fillId="0" borderId="0" xfId="0" applyFont="1" applyAlignment="1">
      <alignment horizontal="center" vertical="center" shrinkToFit="1"/>
    </xf>
    <xf numFmtId="1" fontId="7" fillId="8" borderId="5" xfId="0" applyNumberFormat="1" applyFont="1" applyFill="1" applyBorder="1" applyAlignment="1" applyProtection="1">
      <alignment horizontal="center" vertical="center" shrinkToFit="1"/>
      <protection locked="0"/>
    </xf>
    <xf numFmtId="1" fontId="6" fillId="3" borderId="86" xfId="0" applyNumberFormat="1" applyFont="1" applyFill="1" applyBorder="1" applyAlignment="1">
      <alignment horizontal="center" vertical="center" shrinkToFit="1"/>
    </xf>
    <xf numFmtId="0" fontId="30" fillId="6" borderId="3" xfId="0" applyFont="1" applyFill="1" applyBorder="1" applyAlignment="1">
      <alignment horizontal="left" vertical="center" indent="1" shrinkToFit="1"/>
    </xf>
    <xf numFmtId="1" fontId="5" fillId="0" borderId="3" xfId="0" applyNumberFormat="1" applyFont="1" applyBorder="1" applyAlignment="1">
      <alignment horizontal="center" vertical="center" shrinkToFit="1"/>
    </xf>
    <xf numFmtId="0" fontId="36" fillId="0" borderId="3" xfId="0" applyFont="1" applyBorder="1" applyAlignment="1">
      <alignment horizontal="center" vertical="center" shrinkToFit="1"/>
    </xf>
    <xf numFmtId="0" fontId="36" fillId="0" borderId="87" xfId="0" applyFont="1" applyBorder="1" applyAlignment="1">
      <alignment horizontal="center" vertical="center" shrinkToFit="1"/>
    </xf>
    <xf numFmtId="1" fontId="6" fillId="3" borderId="88" xfId="0" applyNumberFormat="1" applyFont="1" applyFill="1" applyBorder="1" applyAlignment="1">
      <alignment horizontal="center" vertical="center" shrinkToFit="1"/>
    </xf>
    <xf numFmtId="0" fontId="30" fillId="6" borderId="89" xfId="0" applyFont="1" applyFill="1" applyBorder="1" applyAlignment="1">
      <alignment horizontal="left" vertical="center" indent="1" shrinkToFit="1"/>
    </xf>
    <xf numFmtId="1" fontId="5" fillId="0" borderId="89" xfId="0" applyNumberFormat="1" applyFont="1" applyBorder="1" applyAlignment="1">
      <alignment horizontal="center" vertical="center" shrinkToFit="1"/>
    </xf>
    <xf numFmtId="0" fontId="36" fillId="0" borderId="89" xfId="0" applyFont="1" applyBorder="1" applyAlignment="1">
      <alignment horizontal="center" vertical="center" shrinkToFit="1"/>
    </xf>
    <xf numFmtId="0" fontId="36" fillId="0" borderId="90" xfId="0" applyFont="1" applyBorder="1" applyAlignment="1">
      <alignment horizontal="center" vertical="center" shrinkToFit="1"/>
    </xf>
    <xf numFmtId="0" fontId="0" fillId="0" borderId="6" xfId="0" applyBorder="1"/>
    <xf numFmtId="0" fontId="14" fillId="0" borderId="0" xfId="0" applyFont="1" applyAlignment="1">
      <alignment horizontal="left" vertical="center" shrinkToFit="1"/>
    </xf>
    <xf numFmtId="0" fontId="6" fillId="4" borderId="115" xfId="0" applyFont="1" applyFill="1" applyBorder="1" applyAlignment="1">
      <alignment horizontal="center" vertical="center" shrinkToFit="1"/>
    </xf>
    <xf numFmtId="0" fontId="11" fillId="7" borderId="106" xfId="0" applyFont="1" applyFill="1" applyBorder="1" applyAlignment="1">
      <alignment horizontal="center" vertical="center" shrinkToFit="1"/>
    </xf>
    <xf numFmtId="0" fontId="0" fillId="0" borderId="107" xfId="0" applyBorder="1"/>
    <xf numFmtId="0" fontId="11" fillId="8" borderId="106" xfId="0" applyFont="1" applyFill="1" applyBorder="1" applyAlignment="1">
      <alignment horizontal="center" vertical="center" shrinkToFit="1"/>
    </xf>
    <xf numFmtId="0" fontId="31" fillId="0" borderId="3" xfId="0" applyFont="1" applyBorder="1" applyAlignment="1">
      <alignment horizontal="center" vertical="center" shrinkToFit="1"/>
    </xf>
    <xf numFmtId="0" fontId="0" fillId="0" borderId="110" xfId="0" applyBorder="1"/>
    <xf numFmtId="0" fontId="31" fillId="0" borderId="89" xfId="0" applyFont="1" applyBorder="1" applyAlignment="1">
      <alignment horizontal="center" vertical="center" shrinkToFit="1"/>
    </xf>
    <xf numFmtId="0" fontId="0" fillId="0" borderId="112" xfId="0" applyBorder="1"/>
    <xf numFmtId="0" fontId="6" fillId="0" borderId="0" xfId="0" applyFont="1" applyAlignment="1">
      <alignment horizontal="left" vertical="center" shrinkToFit="1"/>
    </xf>
    <xf numFmtId="0" fontId="11" fillId="4" borderId="120" xfId="0" applyFont="1" applyFill="1" applyBorder="1" applyAlignment="1" applyProtection="1">
      <alignment horizontal="center" vertical="center" wrapText="1"/>
      <protection locked="0"/>
    </xf>
    <xf numFmtId="0" fontId="11" fillId="4" borderId="121" xfId="0" applyFont="1" applyFill="1" applyBorder="1" applyAlignment="1" applyProtection="1">
      <alignment horizontal="center" vertical="center" wrapText="1"/>
      <protection locked="0"/>
    </xf>
    <xf numFmtId="0" fontId="11" fillId="4" borderId="121" xfId="0" applyFont="1" applyFill="1" applyBorder="1" applyAlignment="1">
      <alignment horizontal="center" vertical="center" wrapText="1"/>
    </xf>
    <xf numFmtId="0" fontId="11" fillId="4" borderId="122" xfId="0" applyFont="1" applyFill="1" applyBorder="1" applyAlignment="1">
      <alignment horizontal="center" vertical="center" wrapText="1"/>
    </xf>
    <xf numFmtId="0" fontId="48" fillId="4" borderId="4" xfId="0" applyFont="1" applyFill="1" applyBorder="1" applyAlignment="1">
      <alignment horizontal="center" vertical="center" wrapText="1"/>
    </xf>
    <xf numFmtId="0" fontId="0" fillId="0" borderId="125" xfId="0" applyBorder="1"/>
    <xf numFmtId="0" fontId="11" fillId="4" borderId="120" xfId="0" applyFont="1" applyFill="1" applyBorder="1" applyAlignment="1">
      <alignment horizontal="center" vertical="center" wrapText="1"/>
    </xf>
    <xf numFmtId="0" fontId="11" fillId="4" borderId="129" xfId="0" applyFont="1" applyFill="1" applyBorder="1" applyAlignment="1">
      <alignment horizontal="center" vertical="center" wrapText="1"/>
    </xf>
    <xf numFmtId="0" fontId="11" fillId="4" borderId="126" xfId="0" applyFont="1" applyFill="1" applyBorder="1" applyAlignment="1">
      <alignment horizontal="center" vertical="center" wrapText="1"/>
    </xf>
    <xf numFmtId="0" fontId="0" fillId="0" borderId="133" xfId="0" applyBorder="1"/>
    <xf numFmtId="0" fontId="48" fillId="4" borderId="126" xfId="0" applyFont="1" applyFill="1" applyBorder="1" applyAlignment="1">
      <alignment horizontal="center" vertical="center" wrapText="1"/>
    </xf>
    <xf numFmtId="0" fontId="48" fillId="4" borderId="136" xfId="0" applyFont="1" applyFill="1" applyBorder="1" applyAlignment="1">
      <alignment horizontal="center" vertical="center" wrapText="1"/>
    </xf>
    <xf numFmtId="0" fontId="48" fillId="4" borderId="120" xfId="0" applyFont="1" applyFill="1" applyBorder="1" applyAlignment="1">
      <alignment horizontal="center" vertical="center" wrapText="1"/>
    </xf>
    <xf numFmtId="0" fontId="48" fillId="4" borderId="12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shrinkToFit="1"/>
    </xf>
    <xf numFmtId="0" fontId="6" fillId="8" borderId="86" xfId="0" applyFont="1" applyFill="1" applyBorder="1" applyAlignment="1" applyProtection="1">
      <alignment horizontal="center" vertical="center" shrinkToFit="1"/>
      <protection locked="0"/>
    </xf>
    <xf numFmtId="0" fontId="13" fillId="8" borderId="3" xfId="0" applyFont="1" applyFill="1" applyBorder="1" applyAlignment="1" applyProtection="1">
      <alignment horizontal="left" vertical="center" indent="1" shrinkToFit="1"/>
      <protection locked="0"/>
    </xf>
    <xf numFmtId="1" fontId="13" fillId="8" borderId="3" xfId="0" applyNumberFormat="1" applyFont="1" applyFill="1" applyBorder="1" applyAlignment="1" applyProtection="1">
      <alignment horizontal="center" vertical="center" shrinkToFit="1"/>
      <protection locked="0"/>
    </xf>
    <xf numFmtId="0" fontId="13" fillId="8" borderId="3" xfId="0" applyFont="1" applyFill="1" applyBorder="1" applyAlignment="1" applyProtection="1">
      <alignment horizontal="center" vertical="center" shrinkToFit="1"/>
      <protection locked="0"/>
    </xf>
    <xf numFmtId="0" fontId="45" fillId="8" borderId="3" xfId="0" applyFont="1" applyFill="1" applyBorder="1" applyAlignment="1" applyProtection="1">
      <alignment horizontal="left" vertical="center" indent="1" shrinkToFit="1"/>
      <protection locked="0"/>
    </xf>
    <xf numFmtId="1" fontId="13" fillId="3" borderId="3" xfId="0" applyNumberFormat="1" applyFont="1" applyFill="1" applyBorder="1" applyAlignment="1">
      <alignment horizontal="center" vertical="center" shrinkToFit="1"/>
    </xf>
    <xf numFmtId="0" fontId="46" fillId="3" borderId="3" xfId="0" applyFont="1" applyFill="1" applyBorder="1" applyAlignment="1">
      <alignment horizontal="left" vertical="center" indent="1" shrinkToFit="1"/>
    </xf>
    <xf numFmtId="0" fontId="18" fillId="0" borderId="110" xfId="0" applyFont="1" applyBorder="1" applyAlignment="1">
      <alignment horizontal="left" vertical="center" indent="1" shrinkToFit="1"/>
    </xf>
    <xf numFmtId="0" fontId="47" fillId="0" borderId="123" xfId="0" applyFont="1" applyBorder="1" applyAlignment="1">
      <alignment horizontal="left" vertical="center" indent="1" shrinkToFit="1"/>
    </xf>
    <xf numFmtId="1" fontId="24" fillId="0" borderId="0" xfId="0" applyNumberFormat="1" applyFont="1" applyAlignment="1">
      <alignment horizontal="center" vertical="center" shrinkToFit="1"/>
    </xf>
    <xf numFmtId="0" fontId="13" fillId="8" borderId="86" xfId="0" applyFont="1" applyFill="1" applyBorder="1" applyAlignment="1" applyProtection="1">
      <alignment horizontal="left" vertical="center" indent="1" shrinkToFit="1"/>
      <protection locked="0"/>
    </xf>
    <xf numFmtId="0" fontId="13" fillId="3" borderId="130" xfId="0" applyFont="1" applyFill="1" applyBorder="1" applyAlignment="1">
      <alignment horizontal="left" vertical="center" indent="1" shrinkToFit="1"/>
    </xf>
    <xf numFmtId="0" fontId="13" fillId="8" borderId="127" xfId="0" applyFont="1" applyFill="1" applyBorder="1" applyAlignment="1" applyProtection="1">
      <alignment horizontal="left" vertical="center" indent="1" shrinkToFit="1"/>
      <protection locked="0"/>
    </xf>
    <xf numFmtId="0" fontId="31" fillId="3" borderId="127" xfId="0" applyFont="1" applyFill="1" applyBorder="1" applyAlignment="1">
      <alignment horizontal="left" vertical="center" indent="1" shrinkToFit="1"/>
    </xf>
    <xf numFmtId="0" fontId="31" fillId="3" borderId="137" xfId="0" applyFont="1" applyFill="1" applyBorder="1" applyAlignment="1">
      <alignment horizontal="left" vertical="center" indent="1" shrinkToFit="1"/>
    </xf>
    <xf numFmtId="1" fontId="24" fillId="3" borderId="86" xfId="0" applyNumberFormat="1" applyFont="1" applyFill="1" applyBorder="1" applyAlignment="1">
      <alignment horizontal="center" vertical="center" shrinkToFit="1"/>
    </xf>
    <xf numFmtId="0" fontId="31" fillId="3" borderId="87" xfId="0" applyFont="1" applyFill="1" applyBorder="1" applyAlignment="1">
      <alignment horizontal="left" vertical="center" indent="1" shrinkToFit="1"/>
    </xf>
    <xf numFmtId="0" fontId="13" fillId="3" borderId="127" xfId="0" applyFont="1" applyFill="1" applyBorder="1" applyAlignment="1">
      <alignment horizontal="left" vertical="center" indent="1" shrinkToFit="1"/>
    </xf>
    <xf numFmtId="0" fontId="13" fillId="3" borderId="3" xfId="0" applyFont="1" applyFill="1" applyBorder="1" applyAlignment="1">
      <alignment horizontal="center" vertical="center" shrinkToFit="1"/>
    </xf>
    <xf numFmtId="0" fontId="24" fillId="0" borderId="0" xfId="0" applyFont="1"/>
    <xf numFmtId="0" fontId="13" fillId="8" borderId="88" xfId="0" applyFont="1" applyFill="1" applyBorder="1" applyAlignment="1" applyProtection="1">
      <alignment horizontal="left" vertical="center" indent="1" shrinkToFit="1"/>
      <protection locked="0"/>
    </xf>
    <xf numFmtId="0" fontId="13" fillId="8" borderId="89" xfId="0" applyFont="1" applyFill="1" applyBorder="1" applyAlignment="1" applyProtection="1">
      <alignment horizontal="left" vertical="center" indent="1" shrinkToFit="1"/>
      <protection locked="0"/>
    </xf>
    <xf numFmtId="0" fontId="13" fillId="3" borderId="131" xfId="0" applyFont="1" applyFill="1" applyBorder="1" applyAlignment="1">
      <alignment horizontal="left" vertical="center" indent="1" shrinkToFit="1"/>
    </xf>
    <xf numFmtId="0" fontId="13" fillId="8" borderId="128" xfId="0" applyFont="1" applyFill="1" applyBorder="1" applyAlignment="1" applyProtection="1">
      <alignment horizontal="left" vertical="center" indent="1" shrinkToFit="1"/>
      <protection locked="0"/>
    </xf>
    <xf numFmtId="0" fontId="31" fillId="3" borderId="128" xfId="0" applyFont="1" applyFill="1" applyBorder="1" applyAlignment="1">
      <alignment horizontal="left" vertical="center" indent="1" shrinkToFit="1"/>
    </xf>
    <xf numFmtId="0" fontId="31" fillId="3" borderId="138" xfId="0" applyFont="1" applyFill="1" applyBorder="1" applyAlignment="1">
      <alignment horizontal="left" vertical="center" indent="1" shrinkToFit="1"/>
    </xf>
    <xf numFmtId="1" fontId="24" fillId="3" borderId="88" xfId="0" applyNumberFormat="1" applyFont="1" applyFill="1" applyBorder="1" applyAlignment="1">
      <alignment horizontal="center" vertical="center" shrinkToFit="1"/>
    </xf>
    <xf numFmtId="0" fontId="31" fillId="3" borderId="90" xfId="0" applyFont="1" applyFill="1" applyBorder="1" applyAlignment="1">
      <alignment horizontal="left" vertical="center" indent="1" shrinkToFit="1"/>
    </xf>
    <xf numFmtId="0" fontId="13" fillId="3" borderId="128" xfId="0" applyFont="1" applyFill="1" applyBorder="1" applyAlignment="1">
      <alignment horizontal="left" vertical="center" indent="1" shrinkToFit="1"/>
    </xf>
    <xf numFmtId="0" fontId="6" fillId="8" borderId="88" xfId="0" applyFont="1" applyFill="1" applyBorder="1" applyAlignment="1" applyProtection="1">
      <alignment horizontal="center" vertical="center" shrinkToFit="1"/>
      <protection locked="0"/>
    </xf>
    <xf numFmtId="1" fontId="13" fillId="8" borderId="89" xfId="0" applyNumberFormat="1" applyFont="1" applyFill="1" applyBorder="1" applyAlignment="1" applyProtection="1">
      <alignment horizontal="center" vertical="center" shrinkToFit="1"/>
      <protection locked="0"/>
    </xf>
    <xf numFmtId="0" fontId="13" fillId="8" borderId="89" xfId="0" applyFont="1" applyFill="1" applyBorder="1" applyAlignment="1" applyProtection="1">
      <alignment horizontal="center" vertical="center" shrinkToFit="1"/>
      <protection locked="0"/>
    </xf>
    <xf numFmtId="0" fontId="45" fillId="8" borderId="89" xfId="0" applyFont="1" applyFill="1" applyBorder="1" applyAlignment="1" applyProtection="1">
      <alignment horizontal="left" vertical="center" indent="1" shrinkToFit="1"/>
      <protection locked="0"/>
    </xf>
    <xf numFmtId="1" fontId="13" fillId="3" borderId="89" xfId="0" applyNumberFormat="1" applyFont="1" applyFill="1" applyBorder="1" applyAlignment="1">
      <alignment horizontal="center" vertical="center" shrinkToFit="1"/>
    </xf>
    <xf numFmtId="0" fontId="13" fillId="3" borderId="89" xfId="0" applyFont="1" applyFill="1" applyBorder="1" applyAlignment="1">
      <alignment horizontal="left" vertical="center" indent="1" shrinkToFit="1"/>
    </xf>
    <xf numFmtId="0" fontId="46" fillId="3" borderId="89" xfId="0" applyFont="1" applyFill="1" applyBorder="1" applyAlignment="1">
      <alignment horizontal="left" vertical="center" indent="1" shrinkToFit="1"/>
    </xf>
    <xf numFmtId="0" fontId="18" fillId="0" borderId="112" xfId="0" applyFont="1" applyBorder="1" applyAlignment="1">
      <alignment horizontal="left" vertical="center" indent="1" shrinkToFit="1"/>
    </xf>
    <xf numFmtId="0" fontId="47" fillId="0" borderId="124" xfId="0" applyFont="1" applyBorder="1" applyAlignment="1">
      <alignment horizontal="left" vertical="center" indent="1" shrinkToFit="1"/>
    </xf>
    <xf numFmtId="0" fontId="30" fillId="3" borderId="59" xfId="0" applyFont="1" applyFill="1" applyBorder="1" applyAlignment="1">
      <alignment horizontal="left" vertical="center" indent="1" shrinkToFit="1"/>
    </xf>
    <xf numFmtId="0" fontId="0" fillId="3" borderId="60" xfId="0" applyFill="1" applyBorder="1"/>
    <xf numFmtId="166" fontId="5" fillId="7" borderId="7" xfId="0" applyNumberFormat="1" applyFont="1" applyFill="1" applyBorder="1" applyAlignment="1">
      <alignment horizontal="center" vertical="center" shrinkToFit="1"/>
    </xf>
    <xf numFmtId="166" fontId="0" fillId="7" borderId="8" xfId="0" applyNumberFormat="1" applyFill="1" applyBorder="1"/>
    <xf numFmtId="0" fontId="11" fillId="4" borderId="9" xfId="0" applyFont="1" applyFill="1" applyBorder="1" applyAlignment="1">
      <alignment horizontal="center" vertical="center" wrapText="1"/>
    </xf>
    <xf numFmtId="0" fontId="0" fillId="4" borderId="10" xfId="0" applyFill="1" applyBorder="1"/>
    <xf numFmtId="2" fontId="30" fillId="3" borderId="59" xfId="0" applyNumberFormat="1" applyFont="1" applyFill="1" applyBorder="1" applyAlignment="1">
      <alignment horizontal="center" vertical="center" shrinkToFit="1"/>
    </xf>
    <xf numFmtId="2" fontId="0" fillId="3" borderId="60" xfId="0" applyNumberFormat="1" applyFill="1" applyBorder="1"/>
    <xf numFmtId="0" fontId="0" fillId="6" borderId="11" xfId="0" applyFill="1" applyBorder="1" applyAlignment="1">
      <alignment horizontal="center" vertical="center" shrinkToFit="1"/>
    </xf>
    <xf numFmtId="0" fontId="0" fillId="6" borderId="12" xfId="0" applyFill="1" applyBorder="1"/>
    <xf numFmtId="0" fontId="0" fillId="6" borderId="13" xfId="0" applyFill="1" applyBorder="1"/>
    <xf numFmtId="0" fontId="11" fillId="4" borderId="14" xfId="0" applyFont="1" applyFill="1" applyBorder="1" applyAlignment="1">
      <alignment horizontal="center" vertical="center" shrinkToFit="1"/>
    </xf>
    <xf numFmtId="0" fontId="0" fillId="4" borderId="15" xfId="0" applyFill="1" applyBorder="1"/>
    <xf numFmtId="0" fontId="9" fillId="2" borderId="40" xfId="0" applyFont="1" applyFill="1" applyBorder="1" applyAlignment="1">
      <alignment horizontal="left" vertical="center" indent="1" shrinkToFit="1"/>
    </xf>
    <xf numFmtId="0" fontId="0" fillId="2" borderId="41" xfId="0" applyFill="1" applyBorder="1"/>
    <xf numFmtId="1" fontId="25" fillId="6" borderId="7" xfId="0" applyNumberFormat="1" applyFont="1" applyFill="1" applyBorder="1" applyAlignment="1">
      <alignment horizontal="center" vertical="center" shrinkToFit="1"/>
    </xf>
    <xf numFmtId="1" fontId="0" fillId="6" borderId="8" xfId="0" applyNumberFormat="1" applyFill="1" applyBorder="1"/>
    <xf numFmtId="0" fontId="11" fillId="4" borderId="7" xfId="0" applyFont="1" applyFill="1" applyBorder="1" applyAlignment="1">
      <alignment horizontal="right" vertical="center" shrinkToFit="1"/>
    </xf>
    <xf numFmtId="0" fontId="0" fillId="4" borderId="8" xfId="0" applyFill="1" applyBorder="1"/>
    <xf numFmtId="1" fontId="30" fillId="6" borderId="7" xfId="0" applyNumberFormat="1" applyFont="1" applyFill="1" applyBorder="1" applyAlignment="1">
      <alignment horizontal="center" vertical="center" shrinkToFit="1"/>
    </xf>
    <xf numFmtId="166" fontId="23" fillId="4" borderId="7" xfId="0" applyNumberFormat="1" applyFont="1" applyFill="1" applyBorder="1" applyAlignment="1">
      <alignment horizontal="center" vertical="center" shrinkToFit="1"/>
    </xf>
    <xf numFmtId="166" fontId="0" fillId="4" borderId="8" xfId="0" applyNumberFormat="1" applyFill="1" applyBorder="1"/>
    <xf numFmtId="2" fontId="30" fillId="3" borderId="7" xfId="0" applyNumberFormat="1" applyFont="1" applyFill="1" applyBorder="1" applyAlignment="1">
      <alignment horizontal="center" vertical="center" shrinkToFit="1"/>
    </xf>
    <xf numFmtId="2" fontId="0" fillId="3" borderId="8" xfId="0" applyNumberFormat="1" applyFill="1" applyBorder="1"/>
    <xf numFmtId="0" fontId="30" fillId="6" borderId="7" xfId="0" applyFont="1" applyFill="1" applyBorder="1" applyAlignment="1">
      <alignment horizontal="left" vertical="center" indent="1" shrinkToFit="1"/>
    </xf>
    <xf numFmtId="0" fontId="0" fillId="6" borderId="8" xfId="0" applyFill="1" applyBorder="1"/>
    <xf numFmtId="1" fontId="30" fillId="3" borderId="7" xfId="0" applyNumberFormat="1" applyFont="1" applyFill="1" applyBorder="1" applyAlignment="1">
      <alignment horizontal="center" vertical="center" shrinkToFit="1"/>
    </xf>
    <xf numFmtId="1" fontId="0" fillId="3" borderId="8" xfId="0" applyNumberFormat="1" applyFill="1" applyBorder="1"/>
    <xf numFmtId="1" fontId="5" fillId="6" borderId="7" xfId="0" applyNumberFormat="1" applyFont="1" applyFill="1" applyBorder="1" applyAlignment="1">
      <alignment horizontal="center" vertical="center" shrinkToFit="1"/>
    </xf>
    <xf numFmtId="0" fontId="11" fillId="3" borderId="7" xfId="0" applyFont="1" applyFill="1" applyBorder="1" applyAlignment="1">
      <alignment horizontal="right" vertical="center" shrinkToFit="1"/>
    </xf>
    <xf numFmtId="0" fontId="0" fillId="3" borderId="8" xfId="0" applyFill="1" applyBorder="1"/>
    <xf numFmtId="0" fontId="29" fillId="4" borderId="14" xfId="0" applyFont="1" applyFill="1" applyBorder="1" applyAlignment="1">
      <alignment horizontal="center" vertical="center" shrinkToFit="1"/>
    </xf>
    <xf numFmtId="0" fontId="16" fillId="3" borderId="7" xfId="0" applyFont="1" applyFill="1" applyBorder="1" applyAlignment="1">
      <alignment horizontal="right" vertical="center" shrinkToFit="1"/>
    </xf>
    <xf numFmtId="1" fontId="27" fillId="4" borderId="53" xfId="0" applyNumberFormat="1" applyFont="1" applyFill="1" applyBorder="1" applyAlignment="1">
      <alignment horizontal="center" vertical="center" shrinkToFit="1"/>
    </xf>
    <xf numFmtId="1" fontId="0" fillId="4" borderId="57" xfId="0" applyNumberFormat="1" applyFill="1" applyBorder="1"/>
    <xf numFmtId="1" fontId="0" fillId="4" borderId="62" xfId="0" applyNumberFormat="1" applyFill="1" applyBorder="1"/>
    <xf numFmtId="0" fontId="30" fillId="3" borderId="7" xfId="0" applyFont="1" applyFill="1" applyBorder="1" applyAlignment="1">
      <alignment horizontal="left" vertical="center" indent="1" shrinkToFit="1"/>
    </xf>
    <xf numFmtId="0" fontId="5" fillId="0" borderId="2" xfId="0" applyFont="1" applyBorder="1" applyAlignment="1">
      <alignment horizontal="left" vertical="center" indent="1" shrinkToFit="1"/>
    </xf>
    <xf numFmtId="0" fontId="0" fillId="0" borderId="2" xfId="0" applyBorder="1"/>
    <xf numFmtId="166" fontId="28" fillId="0" borderId="7" xfId="0" applyNumberFormat="1" applyFont="1" applyBorder="1" applyAlignment="1">
      <alignment horizontal="center" vertical="center" shrinkToFit="1"/>
    </xf>
    <xf numFmtId="166" fontId="0" fillId="0" borderId="8" xfId="0" applyNumberFormat="1" applyBorder="1"/>
    <xf numFmtId="0" fontId="6" fillId="0" borderId="16" xfId="0" applyFont="1" applyBorder="1" applyAlignment="1">
      <alignment horizontal="right" vertical="center" shrinkToFit="1"/>
    </xf>
    <xf numFmtId="0" fontId="0" fillId="0" borderId="17" xfId="0" applyBorder="1"/>
    <xf numFmtId="165" fontId="20" fillId="4" borderId="53" xfId="0" applyNumberFormat="1" applyFont="1" applyFill="1" applyBorder="1" applyAlignment="1">
      <alignment horizontal="center" vertical="center" shrinkToFit="1"/>
    </xf>
    <xf numFmtId="165" fontId="0" fillId="4" borderId="54" xfId="0" applyNumberFormat="1" applyFill="1" applyBorder="1"/>
    <xf numFmtId="167" fontId="16" fillId="3" borderId="7" xfId="0" applyNumberFormat="1" applyFont="1" applyFill="1" applyBorder="1" applyAlignment="1">
      <alignment horizontal="center" vertical="center" shrinkToFit="1"/>
    </xf>
    <xf numFmtId="167" fontId="0" fillId="3" borderId="8" xfId="0" applyNumberFormat="1" applyFill="1" applyBorder="1"/>
    <xf numFmtId="1" fontId="30" fillId="3" borderId="59" xfId="0" applyNumberFormat="1" applyFont="1" applyFill="1" applyBorder="1" applyAlignment="1">
      <alignment horizontal="center" vertical="center" shrinkToFit="1"/>
    </xf>
    <xf numFmtId="1" fontId="0" fillId="3" borderId="60" xfId="0" applyNumberFormat="1" applyFill="1" applyBorder="1"/>
    <xf numFmtId="2" fontId="30" fillId="6" borderId="7" xfId="0" applyNumberFormat="1" applyFont="1" applyFill="1" applyBorder="1" applyAlignment="1">
      <alignment horizontal="center" vertical="center" shrinkToFit="1"/>
    </xf>
    <xf numFmtId="2" fontId="0" fillId="6" borderId="8" xfId="0" applyNumberFormat="1" applyFill="1" applyBorder="1"/>
    <xf numFmtId="167" fontId="16" fillId="3" borderId="37" xfId="0" applyNumberFormat="1" applyFont="1" applyFill="1" applyBorder="1" applyAlignment="1">
      <alignment horizontal="center" vertical="center" shrinkToFit="1"/>
    </xf>
    <xf numFmtId="167" fontId="0" fillId="3" borderId="56" xfId="0" applyNumberFormat="1" applyFill="1" applyBorder="1"/>
    <xf numFmtId="1" fontId="26" fillId="4" borderId="59" xfId="0" applyNumberFormat="1" applyFont="1" applyFill="1" applyBorder="1" applyAlignment="1">
      <alignment horizontal="center" vertical="center" shrinkToFit="1"/>
    </xf>
    <xf numFmtId="1" fontId="0" fillId="4" borderId="60" xfId="0" applyNumberFormat="1" applyFill="1" applyBorder="1"/>
    <xf numFmtId="0" fontId="10" fillId="2" borderId="42" xfId="0" applyFont="1" applyFill="1" applyBorder="1" applyAlignment="1">
      <alignment horizontal="center" vertical="center" shrinkToFit="1"/>
    </xf>
    <xf numFmtId="0" fontId="0" fillId="2" borderId="43" xfId="0" applyFill="1" applyBorder="1"/>
    <xf numFmtId="0" fontId="0" fillId="2" borderId="44" xfId="0" applyFill="1" applyBorder="1"/>
    <xf numFmtId="166" fontId="5" fillId="8" borderId="7" xfId="0" applyNumberFormat="1" applyFont="1" applyFill="1" applyBorder="1" applyAlignment="1">
      <alignment horizontal="center" vertical="center" shrinkToFit="1"/>
    </xf>
    <xf numFmtId="166" fontId="0" fillId="8" borderId="38" xfId="0" applyNumberFormat="1" applyFill="1" applyBorder="1"/>
    <xf numFmtId="1" fontId="8" fillId="0" borderId="7" xfId="0" applyNumberFormat="1" applyFont="1" applyBorder="1" applyAlignment="1">
      <alignment horizontal="center" vertical="center" shrinkToFit="1"/>
    </xf>
    <xf numFmtId="1" fontId="0" fillId="0" borderId="21" xfId="0" applyNumberFormat="1" applyBorder="1"/>
    <xf numFmtId="1" fontId="0" fillId="0" borderId="8" xfId="0" applyNumberFormat="1" applyBorder="1"/>
    <xf numFmtId="0" fontId="0" fillId="4" borderId="31" xfId="0" applyFill="1" applyBorder="1"/>
    <xf numFmtId="0" fontId="11" fillId="4" borderId="46" xfId="0" applyFont="1" applyFill="1" applyBorder="1" applyAlignment="1">
      <alignment horizontal="center" vertical="center" wrapText="1"/>
    </xf>
    <xf numFmtId="0" fontId="0" fillId="4" borderId="48" xfId="0" applyFill="1" applyBorder="1"/>
    <xf numFmtId="166" fontId="0" fillId="4" borderId="38" xfId="0" applyNumberFormat="1" applyFill="1" applyBorder="1"/>
    <xf numFmtId="0" fontId="11" fillId="4" borderId="32" xfId="0" applyFont="1" applyFill="1" applyBorder="1" applyAlignment="1">
      <alignment horizontal="center" vertical="center" wrapText="1"/>
    </xf>
    <xf numFmtId="0" fontId="0" fillId="4" borderId="33" xfId="0" applyFill="1" applyBorder="1"/>
    <xf numFmtId="0" fontId="0" fillId="4" borderId="34" xfId="0" applyFill="1" applyBorder="1"/>
    <xf numFmtId="0" fontId="0" fillId="4" borderId="35" xfId="0" applyFill="1" applyBorder="1"/>
    <xf numFmtId="166" fontId="19" fillId="4" borderId="18" xfId="0" applyNumberFormat="1" applyFont="1" applyFill="1" applyBorder="1" applyAlignment="1">
      <alignment horizontal="center" vertical="center" shrinkToFit="1"/>
    </xf>
    <xf numFmtId="166" fontId="0" fillId="4" borderId="19" xfId="0" applyNumberFormat="1" applyFill="1" applyBorder="1"/>
    <xf numFmtId="166" fontId="0" fillId="8" borderId="8" xfId="0" applyNumberFormat="1" applyFill="1" applyBorder="1"/>
    <xf numFmtId="0" fontId="24" fillId="6" borderId="7" xfId="0" applyFont="1" applyFill="1" applyBorder="1" applyAlignment="1">
      <alignment horizontal="right" vertical="center" shrinkToFit="1"/>
    </xf>
    <xf numFmtId="166" fontId="0" fillId="7" borderId="38" xfId="0" applyNumberFormat="1" applyFill="1" applyBorder="1"/>
    <xf numFmtId="0" fontId="7" fillId="3" borderId="7" xfId="0" applyFont="1" applyFill="1" applyBorder="1" applyAlignment="1">
      <alignment horizontal="center" vertical="center" shrinkToFit="1"/>
    </xf>
    <xf numFmtId="0" fontId="0" fillId="3" borderId="21" xfId="0" applyFill="1" applyBorder="1"/>
    <xf numFmtId="0" fontId="1" fillId="0" borderId="22" xfId="0" applyFont="1" applyBorder="1" applyAlignment="1">
      <alignment horizontal="center" vertical="center" shrinkToFi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5" fillId="4" borderId="59" xfId="0" applyFont="1" applyFill="1" applyBorder="1" applyAlignment="1">
      <alignment horizontal="right" vertical="center" shrinkToFit="1"/>
    </xf>
    <xf numFmtId="0" fontId="0" fillId="4" borderId="60" xfId="0" applyFill="1" applyBorder="1"/>
    <xf numFmtId="1" fontId="5" fillId="3" borderId="7" xfId="0" applyNumberFormat="1" applyFont="1" applyFill="1" applyBorder="1" applyAlignment="1">
      <alignment horizontal="center" vertical="center" shrinkToFit="1"/>
    </xf>
    <xf numFmtId="164" fontId="5" fillId="0" borderId="2" xfId="0" applyNumberFormat="1" applyFont="1" applyBorder="1" applyAlignment="1">
      <alignment horizontal="left" vertical="center" indent="1" shrinkToFit="1"/>
    </xf>
    <xf numFmtId="164" fontId="0" fillId="0" borderId="2" xfId="0" applyNumberFormat="1" applyBorder="1"/>
    <xf numFmtId="1" fontId="5" fillId="3" borderId="59" xfId="0" applyNumberFormat="1" applyFont="1" applyFill="1" applyBorder="1" applyAlignment="1">
      <alignment horizontal="center" vertical="center" shrinkToFit="1"/>
    </xf>
    <xf numFmtId="0" fontId="0" fillId="9" borderId="65" xfId="0" applyFill="1" applyBorder="1"/>
    <xf numFmtId="0" fontId="0" fillId="9" borderId="66" xfId="0" applyFill="1" applyBorder="1"/>
    <xf numFmtId="0" fontId="0" fillId="9" borderId="67" xfId="0" applyFill="1" applyBorder="1"/>
    <xf numFmtId="0" fontId="0" fillId="4" borderId="9" xfId="0" applyFill="1" applyBorder="1"/>
    <xf numFmtId="0" fontId="4" fillId="0" borderId="16" xfId="0" applyFont="1" applyBorder="1" applyAlignment="1">
      <alignment horizontal="right" vertical="center" shrinkToFit="1"/>
    </xf>
    <xf numFmtId="0" fontId="0" fillId="5" borderId="49" xfId="0" applyFill="1" applyBorder="1"/>
    <xf numFmtId="0" fontId="0" fillId="5" borderId="51" xfId="0" applyFill="1" applyBorder="1"/>
    <xf numFmtId="0" fontId="0" fillId="5" borderId="58" xfId="0" applyFill="1" applyBorder="1"/>
    <xf numFmtId="0" fontId="2" fillId="2" borderId="28" xfId="0" applyFont="1" applyFill="1" applyBorder="1" applyAlignment="1">
      <alignment horizontal="center" vertical="center" shrinkToFit="1"/>
    </xf>
    <xf numFmtId="0" fontId="0" fillId="2" borderId="29" xfId="0" applyFill="1" applyBorder="1"/>
    <xf numFmtId="0" fontId="0" fillId="2" borderId="30" xfId="0" applyFill="1" applyBorder="1"/>
    <xf numFmtId="0" fontId="3" fillId="2" borderId="28" xfId="0" applyFont="1" applyFill="1" applyBorder="1" applyAlignment="1">
      <alignment horizontal="center" vertical="center" shrinkToFit="1"/>
    </xf>
    <xf numFmtId="0" fontId="0" fillId="4" borderId="45" xfId="0" applyFill="1" applyBorder="1" applyAlignment="1">
      <alignment horizontal="center" vertical="center" wrapText="1"/>
    </xf>
    <xf numFmtId="0" fontId="0" fillId="4" borderId="47" xfId="0" applyFill="1" applyBorder="1"/>
    <xf numFmtId="0" fontId="24" fillId="0" borderId="16" xfId="0" applyFont="1" applyBorder="1" applyAlignment="1">
      <alignment horizontal="center" vertical="center" shrinkToFit="1"/>
    </xf>
    <xf numFmtId="0" fontId="0" fillId="0" borderId="20" xfId="0" applyBorder="1"/>
    <xf numFmtId="164" fontId="16" fillId="8" borderId="70" xfId="0" applyNumberFormat="1" applyFont="1" applyFill="1" applyBorder="1" applyAlignment="1" applyProtection="1">
      <alignment horizontal="center" vertical="center" shrinkToFit="1"/>
      <protection locked="0"/>
    </xf>
    <xf numFmtId="164" fontId="0" fillId="8" borderId="71" xfId="0" applyNumberFormat="1" applyFill="1" applyBorder="1" applyProtection="1">
      <protection locked="0"/>
    </xf>
    <xf numFmtId="164" fontId="0" fillId="8" borderId="72" xfId="0" applyNumberFormat="1" applyFill="1" applyBorder="1" applyProtection="1">
      <protection locked="0"/>
    </xf>
    <xf numFmtId="0" fontId="13" fillId="0" borderId="95" xfId="0" applyFont="1" applyBorder="1" applyAlignment="1" applyProtection="1">
      <alignment horizontal="left" vertical="top" wrapText="1"/>
      <protection locked="0"/>
    </xf>
    <xf numFmtId="0" fontId="0" fillId="0" borderId="21" xfId="0" applyBorder="1" applyProtection="1">
      <protection locked="0"/>
    </xf>
    <xf numFmtId="0" fontId="0" fillId="0" borderId="38" xfId="0" applyBorder="1" applyProtection="1">
      <protection locked="0"/>
    </xf>
    <xf numFmtId="0" fontId="11" fillId="4" borderId="80" xfId="0" applyFont="1" applyFill="1" applyBorder="1" applyAlignment="1">
      <alignment horizontal="center" vertical="center" wrapText="1"/>
    </xf>
    <xf numFmtId="0" fontId="0" fillId="4" borderId="85" xfId="0" applyFill="1" applyBorder="1"/>
    <xf numFmtId="0" fontId="11" fillId="4" borderId="81" xfId="0" applyFont="1" applyFill="1" applyBorder="1" applyAlignment="1">
      <alignment horizontal="center" vertical="center" shrinkToFit="1"/>
    </xf>
    <xf numFmtId="0" fontId="0" fillId="4" borderId="82" xfId="0" applyFill="1" applyBorder="1"/>
    <xf numFmtId="0" fontId="0" fillId="4" borderId="83" xfId="0" applyFill="1" applyBorder="1"/>
    <xf numFmtId="0" fontId="38" fillId="8" borderId="91" xfId="0" applyFont="1" applyFill="1" applyBorder="1" applyAlignment="1" applyProtection="1">
      <alignment horizontal="center" vertical="center" shrinkToFit="1"/>
      <protection locked="0"/>
    </xf>
    <xf numFmtId="0" fontId="0" fillId="8" borderId="92" xfId="0" applyFill="1" applyBorder="1" applyProtection="1">
      <protection locked="0"/>
    </xf>
    <xf numFmtId="0" fontId="0" fillId="8" borderId="93" xfId="0" applyFill="1" applyBorder="1" applyProtection="1">
      <protection locked="0"/>
    </xf>
    <xf numFmtId="0" fontId="0" fillId="0" borderId="6" xfId="0" applyBorder="1"/>
    <xf numFmtId="0" fontId="0" fillId="0" borderId="96" xfId="0" applyBorder="1" applyProtection="1">
      <protection locked="0"/>
    </xf>
    <xf numFmtId="0" fontId="5" fillId="0" borderId="16" xfId="0" applyFont="1" applyBorder="1" applyAlignment="1">
      <alignment horizontal="right" shrinkToFit="1"/>
    </xf>
    <xf numFmtId="0" fontId="11" fillId="4" borderId="94" xfId="0" applyFont="1" applyFill="1" applyBorder="1" applyAlignment="1">
      <alignment horizontal="center" vertical="center" shrinkToFit="1"/>
    </xf>
    <xf numFmtId="0" fontId="13" fillId="0" borderId="97" xfId="0" applyFont="1" applyBorder="1" applyAlignment="1" applyProtection="1">
      <alignment horizontal="left" vertical="top" wrapText="1"/>
      <protection locked="0"/>
    </xf>
    <xf numFmtId="0" fontId="0" fillId="0" borderId="98" xfId="0" applyBorder="1" applyProtection="1">
      <protection locked="0"/>
    </xf>
    <xf numFmtId="0" fontId="0" fillId="0" borderId="104" xfId="0" applyBorder="1" applyProtection="1">
      <protection locked="0"/>
    </xf>
    <xf numFmtId="0" fontId="5" fillId="0" borderId="16" xfId="0" applyFont="1" applyBorder="1" applyAlignment="1">
      <alignment horizontal="right" vertical="center" shrinkToFit="1"/>
    </xf>
    <xf numFmtId="0" fontId="0" fillId="0" borderId="99" xfId="0" applyBorder="1" applyProtection="1">
      <protection locked="0"/>
    </xf>
    <xf numFmtId="0" fontId="30" fillId="8" borderId="70" xfId="0" applyFont="1" applyFill="1" applyBorder="1" applyAlignment="1" applyProtection="1">
      <alignment horizontal="left" vertical="center" indent="1" shrinkToFit="1"/>
      <protection locked="0"/>
    </xf>
    <xf numFmtId="0" fontId="0" fillId="8" borderId="71" xfId="0" applyFill="1" applyBorder="1" applyProtection="1">
      <protection locked="0"/>
    </xf>
    <xf numFmtId="0" fontId="0" fillId="8" borderId="72" xfId="0" applyFill="1" applyBorder="1" applyProtection="1">
      <protection locked="0"/>
    </xf>
    <xf numFmtId="0" fontId="0" fillId="4" borderId="103" xfId="0" applyFill="1" applyBorder="1"/>
    <xf numFmtId="0" fontId="9" fillId="2" borderId="100" xfId="0" applyFont="1" applyFill="1" applyBorder="1" applyAlignment="1">
      <alignment horizontal="left" vertical="center" indent="1" shrinkToFit="1"/>
    </xf>
    <xf numFmtId="0" fontId="0" fillId="2" borderId="101" xfId="0" applyFill="1" applyBorder="1"/>
    <xf numFmtId="0" fontId="0" fillId="2" borderId="102" xfId="0" applyFill="1" applyBorder="1"/>
    <xf numFmtId="0" fontId="9" fillId="2" borderId="16" xfId="0" applyFont="1" applyFill="1" applyBorder="1" applyAlignment="1">
      <alignment horizontal="left" vertical="center" indent="1" shrinkToFit="1"/>
    </xf>
    <xf numFmtId="0" fontId="0" fillId="2" borderId="20" xfId="0" applyFill="1" applyBorder="1"/>
    <xf numFmtId="0" fontId="0" fillId="2" borderId="17" xfId="0" applyFill="1" applyBorder="1"/>
    <xf numFmtId="0" fontId="11" fillId="4" borderId="79" xfId="0" applyFont="1" applyFill="1" applyBorder="1" applyAlignment="1">
      <alignment horizontal="center" vertical="center" wrapText="1"/>
    </xf>
    <xf numFmtId="0" fontId="0" fillId="4" borderId="84" xfId="0" applyFill="1" applyBorder="1"/>
    <xf numFmtId="0" fontId="35" fillId="0" borderId="16" xfId="0" applyFont="1" applyBorder="1" applyAlignment="1">
      <alignment horizontal="center" vertical="center" shrinkToFit="1"/>
    </xf>
    <xf numFmtId="168" fontId="33" fillId="2" borderId="73" xfId="0" applyNumberFormat="1" applyFont="1" applyFill="1" applyBorder="1" applyAlignment="1" applyProtection="1">
      <alignment horizontal="center" vertical="center" shrinkToFit="1"/>
      <protection locked="0"/>
    </xf>
    <xf numFmtId="168" fontId="0" fillId="2" borderId="74" xfId="0" applyNumberFormat="1" applyFill="1" applyBorder="1" applyProtection="1">
      <protection locked="0"/>
    </xf>
    <xf numFmtId="168" fontId="0" fillId="2" borderId="75" xfId="0" applyNumberFormat="1" applyFill="1" applyBorder="1" applyProtection="1">
      <protection locked="0"/>
    </xf>
    <xf numFmtId="168" fontId="0" fillId="2" borderId="76" xfId="0" applyNumberFormat="1" applyFill="1" applyBorder="1" applyProtection="1">
      <protection locked="0"/>
    </xf>
    <xf numFmtId="168" fontId="0" fillId="2" borderId="77" xfId="0" applyNumberFormat="1" applyFill="1" applyBorder="1" applyProtection="1">
      <protection locked="0"/>
    </xf>
    <xf numFmtId="168" fontId="0" fillId="2" borderId="78" xfId="0" applyNumberFormat="1" applyFill="1" applyBorder="1" applyProtection="1">
      <protection locked="0"/>
    </xf>
    <xf numFmtId="0" fontId="36" fillId="0" borderId="16" xfId="0" applyFont="1" applyBorder="1" applyAlignment="1">
      <alignment horizontal="center" vertical="center" shrinkToFit="1"/>
    </xf>
    <xf numFmtId="0" fontId="34" fillId="0" borderId="16" xfId="0" applyFont="1" applyBorder="1" applyAlignment="1">
      <alignment horizontal="center" vertical="center" shrinkToFit="1"/>
    </xf>
    <xf numFmtId="0" fontId="37" fillId="0" borderId="16" xfId="0" applyFont="1" applyBorder="1" applyAlignment="1">
      <alignment horizontal="center" vertical="center" shrinkToFit="1"/>
    </xf>
    <xf numFmtId="0" fontId="16" fillId="8" borderId="70" xfId="0" applyFont="1" applyFill="1" applyBorder="1" applyAlignment="1" applyProtection="1">
      <alignment horizontal="left" vertical="center" indent="1" shrinkToFit="1"/>
      <protection locked="0"/>
    </xf>
    <xf numFmtId="0" fontId="0" fillId="0" borderId="16" xfId="0" applyBorder="1"/>
    <xf numFmtId="0" fontId="40" fillId="2" borderId="16" xfId="0" applyFont="1" applyFill="1" applyBorder="1" applyAlignment="1">
      <alignment horizontal="center" vertical="center" shrinkToFit="1"/>
    </xf>
    <xf numFmtId="0" fontId="42" fillId="3" borderId="79" xfId="0" applyFont="1" applyFill="1" applyBorder="1" applyAlignment="1">
      <alignment horizontal="center" vertical="center" shrinkToFit="1"/>
    </xf>
    <xf numFmtId="0" fontId="0" fillId="3" borderId="109" xfId="0" applyFill="1" applyBorder="1"/>
    <xf numFmtId="0" fontId="0" fillId="3" borderId="111" xfId="0" applyFill="1" applyBorder="1"/>
    <xf numFmtId="0" fontId="0" fillId="4" borderId="116" xfId="0" applyFill="1" applyBorder="1"/>
    <xf numFmtId="0" fontId="0" fillId="4" borderId="117" xfId="0" applyFill="1" applyBorder="1"/>
    <xf numFmtId="0" fontId="41" fillId="3" borderId="118" xfId="0" applyFont="1" applyFill="1" applyBorder="1" applyAlignment="1">
      <alignment horizontal="left" vertical="top" wrapText="1"/>
    </xf>
    <xf numFmtId="0" fontId="0" fillId="3" borderId="119" xfId="0" applyFill="1" applyBorder="1"/>
    <xf numFmtId="0" fontId="6" fillId="4" borderId="9" xfId="0" applyFont="1" applyFill="1" applyBorder="1" applyAlignment="1">
      <alignment horizontal="center" vertical="center" wrapText="1"/>
    </xf>
    <xf numFmtId="0" fontId="0" fillId="4" borderId="114" xfId="0" applyFill="1" applyBorder="1"/>
    <xf numFmtId="0" fontId="43" fillId="3" borderId="108" xfId="0" applyFont="1" applyFill="1" applyBorder="1" applyAlignment="1">
      <alignment horizontal="center" vertical="center" wrapText="1"/>
    </xf>
    <xf numFmtId="0" fontId="0" fillId="3" borderId="74" xfId="0" applyFill="1" applyBorder="1"/>
    <xf numFmtId="0" fontId="0" fillId="3" borderId="105" xfId="0" applyFill="1" applyBorder="1"/>
    <xf numFmtId="0" fontId="0" fillId="3" borderId="76" xfId="0" applyFill="1" applyBorder="1"/>
    <xf numFmtId="0" fontId="0" fillId="3" borderId="113" xfId="0" applyFill="1" applyBorder="1"/>
    <xf numFmtId="0" fontId="0" fillId="3" borderId="78" xfId="0" applyFill="1" applyBorder="1"/>
    <xf numFmtId="0" fontId="41" fillId="3" borderId="7" xfId="0" applyFont="1" applyFill="1" applyBorder="1" applyAlignment="1">
      <alignment horizontal="left" vertical="top" wrapText="1"/>
    </xf>
    <xf numFmtId="0" fontId="49" fillId="2" borderId="132" xfId="0" applyFont="1" applyFill="1" applyBorder="1" applyAlignment="1">
      <alignment horizontal="center" vertical="center" shrinkToFit="1"/>
    </xf>
    <xf numFmtId="0" fontId="0" fillId="2" borderId="31" xfId="0" applyFill="1" applyBorder="1"/>
    <xf numFmtId="0" fontId="0" fillId="2" borderId="134" xfId="0" applyFill="1" applyBorder="1"/>
    <xf numFmtId="0" fontId="0" fillId="2" borderId="135" xfId="0" applyFill="1" applyBorder="1"/>
    <xf numFmtId="0" fontId="6" fillId="8" borderId="70" xfId="0" applyFont="1" applyFill="1" applyBorder="1" applyAlignment="1" applyProtection="1">
      <alignment horizontal="center" vertical="center" shrinkToFit="1"/>
      <protection locked="0"/>
    </xf>
    <xf numFmtId="0" fontId="0" fillId="8" borderId="72" xfId="0" applyFill="1" applyBorder="1"/>
    <xf numFmtId="0" fontId="44" fillId="2" borderId="16" xfId="0" applyFont="1" applyFill="1" applyBorder="1" applyAlignment="1">
      <alignment horizontal="left" vertical="center" indent="1" shrinkToFit="1"/>
    </xf>
    <xf numFmtId="0" fontId="43" fillId="0" borderId="100" xfId="0" applyFont="1" applyBorder="1" applyAlignment="1">
      <alignment horizontal="left" vertical="center" wrapText="1"/>
    </xf>
    <xf numFmtId="0" fontId="0" fillId="0" borderId="101" xfId="0" applyBorder="1"/>
    <xf numFmtId="0" fontId="0" fillId="0" borderId="102" xfId="0" applyBorder="1"/>
    <xf numFmtId="0" fontId="35" fillId="0" borderId="16" xfId="0" applyFont="1" applyBorder="1" applyAlignment="1">
      <alignment horizontal="left" vertical="center" indent="1" shrinkToFit="1"/>
    </xf>
    <xf numFmtId="0" fontId="50" fillId="8" borderId="3" xfId="0" applyFont="1" applyFill="1" applyBorder="1" applyAlignment="1" applyProtection="1">
      <alignment horizontal="left" vertical="center" indent="1" shrinkToFit="1"/>
      <protection locked="0"/>
    </xf>
  </cellXfs>
  <cellStyles count="1">
    <cellStyle name="Normal" xfId="0" builtinId="0"/>
  </cellStyles>
  <dxfs count="128">
    <dxf>
      <fill>
        <patternFill patternType="solid">
          <fgColor rgb="FFFFC7CE"/>
          <bgColor rgb="FFFFC7CE"/>
        </patternFill>
      </fill>
    </dxf>
    <dxf>
      <font>
        <b/>
        <color rgb="FFFFFFFF"/>
      </font>
      <fill>
        <patternFill patternType="solid">
          <fgColor rgb="FF601010"/>
          <bgColor rgb="FF601010"/>
        </patternFill>
      </fill>
    </dxf>
    <dxf>
      <font>
        <b/>
        <color rgb="FFFFFFFF"/>
      </font>
      <fill>
        <patternFill patternType="solid">
          <fgColor rgb="FF104010"/>
          <bgColor rgb="FF104010"/>
        </patternFill>
      </fill>
    </dxf>
    <dxf>
      <font>
        <b/>
        <color rgb="FFFFFFFF"/>
      </font>
      <fill>
        <patternFill patternType="solid">
          <fgColor rgb="FF8F7310"/>
          <bgColor rgb="FF8F7310"/>
        </patternFill>
      </fill>
    </dxf>
    <dxf>
      <fill>
        <patternFill patternType="solid">
          <fgColor rgb="FFF0CFCF"/>
          <bgColor rgb="FFF0CFCF"/>
        </patternFill>
      </fill>
    </dxf>
    <dxf>
      <fill>
        <patternFill patternType="solid">
          <fgColor rgb="FFCFE4CF"/>
          <bgColor rgb="FFCFE4CF"/>
        </patternFill>
      </fill>
    </dxf>
    <dxf>
      <fill>
        <patternFill patternType="solid">
          <fgColor rgb="FFF0E2A6"/>
          <bgColor rgb="FFF0E2A6"/>
        </patternFill>
      </fill>
    </dxf>
    <dxf>
      <font>
        <color rgb="FF767676"/>
      </font>
      <fill>
        <patternFill patternType="solid">
          <fgColor rgb="FFF2F2F2"/>
          <bgColor rgb="FFF2F2F2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BFBFBF"/>
      </font>
    </dxf>
    <dxf>
      <font>
        <color rgb="FFBFBFBF"/>
      </font>
    </dxf>
    <dxf>
      <fill>
        <patternFill patternType="solid">
          <fgColor rgb="FFF0CFCF"/>
          <bgColor rgb="FFF0CFCF"/>
        </patternFill>
      </fill>
    </dxf>
    <dxf>
      <fill>
        <patternFill patternType="solid">
          <fgColor rgb="FFCFE4CF"/>
          <bgColor rgb="FFCFE4CF"/>
        </patternFill>
      </fill>
    </dxf>
    <dxf>
      <fill>
        <patternFill patternType="solid">
          <fgColor rgb="FFF0E2A6"/>
          <bgColor rgb="FFF0E2A6"/>
        </patternFill>
      </fill>
    </dxf>
    <dxf>
      <font>
        <b/>
        <color rgb="FFFFFFFF"/>
      </font>
      <fill>
        <patternFill patternType="solid">
          <fgColor rgb="FF601010"/>
          <bgColor rgb="FF601010"/>
        </patternFill>
      </fill>
    </dxf>
    <dxf>
      <font>
        <b/>
        <color rgb="FFFFFFFF"/>
      </font>
      <fill>
        <patternFill patternType="solid">
          <fgColor rgb="FF104010"/>
          <bgColor rgb="FF104010"/>
        </patternFill>
      </fill>
    </dxf>
    <dxf>
      <font>
        <b/>
        <color rgb="FFFFFFFF"/>
      </font>
      <fill>
        <patternFill patternType="solid">
          <fgColor rgb="FF8F7310"/>
          <bgColor rgb="FF8F7310"/>
        </patternFill>
      </fill>
    </dxf>
    <dxf>
      <fill>
        <patternFill patternType="solid">
          <fgColor rgb="FFF0CFCF"/>
          <bgColor rgb="FFF0CFCF"/>
        </patternFill>
      </fill>
    </dxf>
    <dxf>
      <fill>
        <patternFill patternType="solid">
          <fgColor rgb="FFCFE4CF"/>
          <bgColor rgb="FFCFE4CF"/>
        </patternFill>
      </fill>
    </dxf>
    <dxf>
      <fill>
        <patternFill patternType="solid">
          <fgColor rgb="FFF0E2A6"/>
          <bgColor rgb="FFF0E2A6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FFFF"/>
      </font>
      <fill>
        <patternFill patternType="solid">
          <fgColor rgb="FF104010"/>
          <bgColor rgb="FF104010"/>
        </patternFill>
      </fill>
    </dxf>
    <dxf>
      <font>
        <b/>
        <color rgb="FFFFFFFF"/>
      </font>
      <fill>
        <patternFill patternType="solid">
          <fgColor rgb="FF8F7310"/>
          <bgColor rgb="FF8F7310"/>
        </patternFill>
      </fill>
    </dxf>
    <dxf>
      <font>
        <b/>
        <color rgb="FFFFFFFF"/>
      </font>
      <fill>
        <patternFill patternType="solid">
          <fgColor rgb="FF601010"/>
          <bgColor rgb="FF601010"/>
        </patternFill>
      </fill>
    </dxf>
    <dxf>
      <fill>
        <patternFill patternType="solid">
          <fgColor rgb="FFF0CFCF"/>
          <bgColor rgb="FFF0CFCF"/>
        </patternFill>
      </fill>
    </dxf>
    <dxf>
      <fill>
        <patternFill patternType="solid">
          <fgColor rgb="FFCFE4CF"/>
          <bgColor rgb="FFCFE4CF"/>
        </patternFill>
      </fill>
    </dxf>
    <dxf>
      <fill>
        <patternFill patternType="solid">
          <fgColor rgb="FFF0E2A6"/>
          <bgColor rgb="FFF0E2A6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FFFF"/>
      </font>
      <fill>
        <patternFill patternType="solid">
          <fgColor rgb="FF601010"/>
          <bgColor rgb="FF601010"/>
        </patternFill>
      </fill>
    </dxf>
    <dxf>
      <font>
        <b/>
        <color rgb="FFFFFFFF"/>
      </font>
      <fill>
        <patternFill patternType="solid">
          <fgColor rgb="FF104010"/>
          <bgColor rgb="FF104010"/>
        </patternFill>
      </fill>
    </dxf>
    <dxf>
      <font>
        <b/>
        <color rgb="FFFFFFFF"/>
      </font>
      <fill>
        <patternFill patternType="solid">
          <fgColor rgb="FF8F7310"/>
          <bgColor rgb="FF8F7310"/>
        </patternFill>
      </fill>
    </dxf>
    <dxf>
      <font>
        <b/>
        <color rgb="FF601010"/>
      </font>
    </dxf>
    <dxf>
      <font>
        <b/>
        <color rgb="FF104010"/>
      </font>
    </dxf>
    <dxf>
      <font>
        <b/>
        <color rgb="FF8F7310"/>
      </font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/>
        <color rgb="FFFFFFFF"/>
      </font>
      <fill>
        <patternFill patternType="solid">
          <fgColor rgb="FF601010"/>
          <bgColor rgb="FF601010"/>
        </patternFill>
      </fill>
    </dxf>
    <dxf>
      <font>
        <b/>
        <i/>
        <color rgb="FFFFFFFF"/>
      </font>
      <fill>
        <patternFill patternType="solid">
          <fgColor rgb="FF104010"/>
          <bgColor rgb="FF104010"/>
        </patternFill>
      </fill>
    </dxf>
    <dxf>
      <font>
        <b/>
        <i/>
        <color rgb="FFFFFFFF"/>
      </font>
      <fill>
        <patternFill patternType="solid">
          <fgColor rgb="FFD0B020"/>
          <bgColor rgb="FFD0B02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</dxf>
    <dxf>
      <font>
        <b/>
        <color rgb="FF9C0033"/>
      </font>
    </dxf>
    <dxf>
      <font>
        <b/>
        <color rgb="FFFF0000"/>
      </font>
    </dxf>
    <dxf>
      <font>
        <b/>
        <color rgb="FF9C0033"/>
      </font>
    </dxf>
    <dxf>
      <font>
        <b/>
        <color rgb="FFFF0000"/>
      </font>
    </dxf>
    <dxf>
      <font>
        <b/>
        <color rgb="FF9C0033"/>
      </font>
    </dxf>
    <dxf>
      <font>
        <b/>
        <color rgb="FF9C0033"/>
      </font>
    </dxf>
    <dxf>
      <font>
        <b/>
        <color rgb="FFFF0000"/>
      </font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FFF2CC"/>
          <bgColor rgb="FFFFF2CC"/>
        </patternFill>
      </fill>
    </dxf>
    <dxf>
      <font>
        <b/>
        <i/>
        <color rgb="FFFFFFFF"/>
      </font>
      <fill>
        <patternFill patternType="solid">
          <fgColor rgb="FFD0B020"/>
          <bgColor rgb="FFD0B020"/>
        </patternFill>
      </fill>
    </dxf>
    <dxf>
      <font>
        <b/>
        <i/>
        <color rgb="FFFFFFFF"/>
      </font>
      <fill>
        <patternFill patternType="solid">
          <fgColor rgb="FF601010"/>
          <bgColor rgb="FF601010"/>
        </patternFill>
      </fill>
    </dxf>
    <dxf>
      <font>
        <b/>
        <i/>
        <color rgb="FFFFFFFF"/>
      </font>
      <fill>
        <patternFill patternType="solid">
          <fgColor rgb="FF104010"/>
          <bgColor rgb="FF104010"/>
        </patternFill>
      </fill>
    </dxf>
    <dxf>
      <font>
        <b/>
        <i/>
        <color rgb="FFFFFFFF"/>
      </font>
      <fill>
        <patternFill patternType="solid">
          <fgColor rgb="FFD0B020"/>
          <bgColor rgb="FFD0B020"/>
        </patternFill>
      </fill>
    </dxf>
    <dxf>
      <font>
        <b/>
        <i/>
        <color rgb="FFFFFFFF"/>
      </font>
      <fill>
        <patternFill patternType="solid">
          <fgColor rgb="FF601010"/>
          <bgColor rgb="FF601010"/>
        </patternFill>
      </fill>
    </dxf>
    <dxf>
      <font>
        <b/>
        <i/>
        <color rgb="FFFFFFFF"/>
      </font>
      <fill>
        <patternFill patternType="solid">
          <fgColor rgb="FF104010"/>
          <bgColor rgb="FF10401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FFF2CC"/>
          <bgColor rgb="FFFFF2CC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2EFDA"/>
          <bgColor rgb="FFE2EFDA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2EFDA"/>
          <bgColor rgb="FFE2EFDA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2EFDA"/>
          <bgColor rgb="FFE2EFDA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2EFDA"/>
          <bgColor rgb="FFE2EFDA"/>
        </patternFill>
      </fill>
    </dxf>
    <dxf>
      <font>
        <b/>
        <color rgb="FF00A4DE"/>
      </font>
    </dxf>
    <dxf>
      <font>
        <b/>
        <color rgb="FFFF0000"/>
      </font>
    </dxf>
    <dxf>
      <font>
        <b/>
        <color rgb="FFC00000"/>
      </font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E2EFDA"/>
          <bgColor rgb="FFE2EFDA"/>
        </patternFill>
      </fill>
    </dxf>
    <dxf>
      <font>
        <b/>
        <color rgb="FFFF0000"/>
      </font>
    </dxf>
    <dxf>
      <font>
        <b/>
        <color rgb="FFC00000"/>
      </font>
    </dxf>
    <dxf>
      <font>
        <b/>
        <color rgb="FF00A4DE"/>
      </font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FF0000"/>
      </font>
      <fill>
        <patternFill patternType="solid">
          <fgColor rgb="FFFFFF00"/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color rgb="FF601010"/>
      </font>
    </dxf>
    <dxf>
      <font>
        <b/>
        <color rgb="FF104010"/>
      </font>
    </dxf>
    <dxf>
      <font>
        <b/>
        <color rgb="FF8F7310"/>
      </font>
    </dxf>
    <dxf>
      <font>
        <b/>
        <color rgb="FF8F7310"/>
      </font>
    </dxf>
    <dxf>
      <font>
        <b/>
        <color rgb="FF601010"/>
      </font>
    </dxf>
    <dxf>
      <font>
        <b/>
        <color rgb="FF104010"/>
      </font>
    </dxf>
    <dxf>
      <font>
        <color rgb="FFBFBFBF"/>
      </font>
    </dxf>
    <dxf>
      <font>
        <color rgb="FFBFBFBF"/>
      </font>
    </dxf>
    <dxf>
      <font>
        <i/>
        <color rgb="FF767676"/>
      </font>
    </dxf>
    <dxf>
      <font>
        <color rgb="FFFFFFFF"/>
      </font>
    </dxf>
    <dxf>
      <font>
        <color rgb="FFFFFFFF"/>
      </font>
    </dxf>
    <dxf>
      <font>
        <i/>
        <color rgb="FF767676"/>
      </font>
    </dxf>
    <dxf>
      <font>
        <b/>
        <color rgb="FFFFFFFF"/>
      </font>
      <fill>
        <patternFill patternType="solid">
          <fgColor rgb="FF104010"/>
          <bgColor rgb="FF104010"/>
        </patternFill>
      </fill>
    </dxf>
    <dxf>
      <font>
        <b/>
        <color rgb="FFFFFFFF"/>
      </font>
      <fill>
        <patternFill patternType="solid">
          <fgColor rgb="FF601010"/>
          <bgColor rgb="FF601010"/>
        </patternFill>
      </fill>
    </dxf>
    <dxf>
      <font>
        <b/>
        <color rgb="FFFFFFFF"/>
      </font>
      <fill>
        <patternFill patternType="solid">
          <fgColor rgb="FF8F7310"/>
          <bgColor rgb="FF8F7310"/>
        </patternFill>
      </fill>
    </dxf>
    <dxf>
      <font>
        <b/>
        <color rgb="FFFFFFFF"/>
      </font>
      <fill>
        <patternFill patternType="solid">
          <fgColor rgb="FF601010"/>
          <bgColor rgb="FF601010"/>
        </patternFill>
      </fill>
    </dxf>
    <dxf>
      <font>
        <b/>
        <color rgb="FFFFFFFF"/>
      </font>
      <fill>
        <patternFill patternType="solid">
          <fgColor rgb="FF104010"/>
          <bgColor rgb="FF104010"/>
        </patternFill>
      </fill>
    </dxf>
    <dxf>
      <font>
        <b/>
        <color rgb="FFFFFFFF"/>
      </font>
      <fill>
        <patternFill patternType="solid">
          <fgColor rgb="FF8F7310"/>
          <bgColor rgb="FF8F7310"/>
        </patternFill>
      </fill>
    </dxf>
    <dxf>
      <fill>
        <patternFill patternType="solid">
          <fgColor rgb="FFF0CFCF"/>
          <bgColor rgb="FFF0CFCF"/>
        </patternFill>
      </fill>
    </dxf>
    <dxf>
      <fill>
        <patternFill patternType="solid">
          <fgColor rgb="FFCFE4CF"/>
          <bgColor rgb="FFCFE4CF"/>
        </patternFill>
      </fill>
    </dxf>
    <dxf>
      <fill>
        <patternFill patternType="solid">
          <fgColor rgb="FFF0E2A6"/>
          <bgColor rgb="FFF0E2A6"/>
        </patternFill>
      </fill>
    </dxf>
    <dxf>
      <fill>
        <patternFill patternType="solid">
          <fgColor rgb="FFF0CFCF"/>
          <bgColor rgb="FFF0CFCF"/>
        </patternFill>
      </fill>
    </dxf>
    <dxf>
      <fill>
        <patternFill patternType="solid">
          <fgColor rgb="FFCFE4CF"/>
          <bgColor rgb="FFCFE4CF"/>
        </patternFill>
      </fill>
    </dxf>
    <dxf>
      <fill>
        <patternFill patternType="solid">
          <fgColor rgb="FFF0E2A6"/>
          <bgColor rgb="FFF0E2A6"/>
        </patternFill>
      </fill>
    </dxf>
    <dxf>
      <font>
        <b/>
        <color rgb="FFFFFFFF"/>
      </font>
      <fill>
        <patternFill patternType="solid">
          <fgColor rgb="FF104010"/>
          <bgColor rgb="FF104010"/>
        </patternFill>
      </fill>
    </dxf>
    <dxf>
      <font>
        <b/>
        <color rgb="FFFFFFFF"/>
      </font>
      <fill>
        <patternFill patternType="solid">
          <fgColor rgb="FF8F7310"/>
          <bgColor rgb="FF8F7310"/>
        </patternFill>
      </fill>
    </dxf>
    <dxf>
      <font>
        <b/>
        <color rgb="FFFFFFFF"/>
      </font>
      <fill>
        <patternFill patternType="solid">
          <fgColor rgb="FF601010"/>
          <bgColor rgb="FF601010"/>
        </patternFill>
      </fill>
    </dxf>
    <dxf>
      <fill>
        <patternFill patternType="solid">
          <fgColor rgb="FFF0CFCF"/>
          <bgColor rgb="FFF0CFCF"/>
        </patternFill>
      </fill>
    </dxf>
    <dxf>
      <fill>
        <patternFill patternType="solid">
          <fgColor rgb="FFCFE4CF"/>
          <bgColor rgb="FFCFE4CF"/>
        </patternFill>
      </fill>
    </dxf>
    <dxf>
      <fill>
        <patternFill patternType="solid">
          <fgColor rgb="FFF0E2A6"/>
          <bgColor rgb="FFF0E2A6"/>
        </patternFill>
      </fill>
    </dxf>
    <dxf>
      <font>
        <b/>
        <color rgb="FFFFFFFF"/>
      </font>
      <fill>
        <patternFill patternType="solid">
          <fgColor rgb="FF601010"/>
          <bgColor rgb="FF601010"/>
        </patternFill>
      </fill>
    </dxf>
    <dxf>
      <font>
        <b/>
        <color rgb="FFFFFFFF"/>
      </font>
      <fill>
        <patternFill patternType="solid">
          <fgColor rgb="FF104010"/>
          <bgColor rgb="FF104010"/>
        </patternFill>
      </fill>
    </dxf>
    <dxf>
      <font>
        <b/>
        <color rgb="FFFFFFFF"/>
      </font>
      <fill>
        <patternFill patternType="solid">
          <fgColor rgb="FF8F7310"/>
          <bgColor rgb="FF8F7310"/>
        </patternFill>
      </fill>
    </dxf>
    <dxf>
      <font>
        <i/>
        <color rgb="FF767676"/>
      </font>
    </dxf>
    <dxf>
      <font>
        <i/>
        <color rgb="FF76767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/>
            </a:pPr>
            <a:r>
              <a:rPr lang="lt-LT"/>
              <a:t>Partijų sumos: namai vs svečiai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Lentelė!$Y$10</c:f>
              <c:strCache>
                <c:ptCount val="1"/>
                <c:pt idx="0">
                  <c:v>Namai</c:v>
                </c:pt>
              </c:strCache>
            </c:strRef>
          </c:tx>
          <c:spPr>
            <a:solidFill>
              <a:srgbClr val="2E75B6"/>
            </a:solidFill>
            <a:ln w="9525">
              <a:solidFill>
                <a:srgbClr val="1F4E79"/>
              </a:solidFill>
            </a:ln>
            <a:effectLst>
              <a:innerShdw blurRad="50800" dist="26941" dir="2700000">
                <a:srgbClr val="1F4E79">
                  <a:alpha val="28000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1F4E79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Lentelė!$X$11:$X$15</c:f>
              <c:numCache>
                <c:formatCode>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Lentelė!$Y$11:$Y$15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D1-4A23-9B46-4357E63A0663}"/>
            </c:ext>
          </c:extLst>
        </c:ser>
        <c:ser>
          <c:idx val="2"/>
          <c:order val="1"/>
          <c:tx>
            <c:strRef>
              <c:f>Lentelė!$Z$10</c:f>
              <c:strCache>
                <c:ptCount val="1"/>
                <c:pt idx="0">
                  <c:v>Svečiai</c:v>
                </c:pt>
              </c:strCache>
            </c:strRef>
          </c:tx>
          <c:spPr>
            <a:solidFill>
              <a:srgbClr val="ED7D31"/>
            </a:solidFill>
            <a:ln w="9525">
              <a:solidFill>
                <a:srgbClr val="9C4A12"/>
              </a:solidFill>
            </a:ln>
            <a:effectLst>
              <a:innerShdw blurRad="50800" dist="26941" dir="2700000">
                <a:srgbClr val="9C4A12">
                  <a:alpha val="28000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9C4A12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Lentelė!$Z$11:$Z$15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D1-4A23-9B46-4357E63A0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-10"/>
        <c:axId val="1306522687"/>
        <c:axId val="1228670223"/>
      </c:barChart>
      <c:catAx>
        <c:axId val="13065226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lt-LT"/>
                  <a:t>Partija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ln w="28575">
            <a:solidFill>
              <a:srgbClr val="1F3864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1228670223"/>
        <c:crosses val="autoZero"/>
        <c:auto val="1"/>
        <c:lblAlgn val="ctr"/>
        <c:lblOffset val="100"/>
        <c:noMultiLvlLbl val="0"/>
      </c:catAx>
      <c:valAx>
        <c:axId val="1228670223"/>
        <c:scaling>
          <c:orientation val="minMax"/>
        </c:scaling>
        <c:delete val="0"/>
        <c:axPos val="l"/>
        <c:majorGridlines>
          <c:spPr>
            <a:ln w="6350">
              <a:solidFill>
                <a:srgbClr val="D9D9D9"/>
              </a:solidFill>
            </a:ln>
          </c:spPr>
        </c:majorGridlines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306522687"/>
        <c:crosses val="autoZero"/>
        <c:crossBetween val="between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/>
    </a:solidFill>
    <a:ln w="9525">
      <a:solidFill>
        <a:srgbClr val="D9D9D9"/>
      </a:solidFill>
    </a:ln>
    <a:effectLst>
      <a:outerShdw dist="35921" dir="2700000" algn="br">
        <a:srgbClr val="000000"/>
      </a:outerShdw>
    </a:effectLst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/>
            </a:pPr>
            <a:r>
              <a:rPr lang="lt-LT"/>
              <a:t>Skirtumas per partiją (namų komandos požiūriu)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Lentelė!$AC$10</c:f>
              <c:strCache>
                <c:ptCount val="1"/>
                <c:pt idx="0">
                  <c:v>Namai laimėjo</c:v>
                </c:pt>
              </c:strCache>
            </c:strRef>
          </c:tx>
          <c:spPr>
            <a:solidFill>
              <a:srgbClr val="2E75B6"/>
            </a:solidFill>
            <a:ln w="9525">
              <a:solidFill>
                <a:srgbClr val="1F4E79"/>
              </a:solidFill>
            </a:ln>
            <a:effectLst>
              <a:innerShdw blurRad="50800" dist="26941" dir="2700000">
                <a:srgbClr val="1F4E79">
                  <a:alpha val="28000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1F4E79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Lentelė!$X$11:$X$15</c:f>
              <c:numCache>
                <c:formatCode>0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Lentelė!$AC$11:$AC$15</c:f>
              <c:numCache>
                <c:formatCode>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BF-4ECD-89FF-C7556DD82768}"/>
            </c:ext>
          </c:extLst>
        </c:ser>
        <c:ser>
          <c:idx val="2"/>
          <c:order val="1"/>
          <c:tx>
            <c:strRef>
              <c:f>Lentelė!$AD$10</c:f>
              <c:strCache>
                <c:ptCount val="1"/>
                <c:pt idx="0">
                  <c:v>Svečiai laimėjo</c:v>
                </c:pt>
              </c:strCache>
            </c:strRef>
          </c:tx>
          <c:spPr>
            <a:solidFill>
              <a:srgbClr val="ED7D31"/>
            </a:solidFill>
            <a:ln w="9525">
              <a:solidFill>
                <a:srgbClr val="9C4A12"/>
              </a:solidFill>
            </a:ln>
            <a:effectLst>
              <a:innerShdw blurRad="50800" dist="26941" dir="2700000">
                <a:srgbClr val="9C4A12">
                  <a:alpha val="28000"/>
                </a:srgbClr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rgbClr val="9C4A12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Lentelė!$AD$11:$AD$15</c:f>
              <c:numCache>
                <c:formatCode>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BF-4ECD-89FF-C7556DD82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343044479"/>
        <c:axId val="1228657743"/>
      </c:barChart>
      <c:lineChart>
        <c:grouping val="standard"/>
        <c:varyColors val="0"/>
        <c:ser>
          <c:idx val="3"/>
          <c:order val="2"/>
          <c:tx>
            <c:strRef>
              <c:f>Lentelė!$AE$10</c:f>
              <c:strCache>
                <c:ptCount val="1"/>
                <c:pt idx="0">
                  <c:v>Bendras skirtumas</c:v>
                </c:pt>
              </c:strCache>
            </c:strRef>
          </c:tx>
          <c:spPr>
            <a:ln w="22225">
              <a:solidFill>
                <a:srgbClr val="7030A0"/>
              </a:solidFill>
            </a:ln>
            <a:effectLst>
              <a:glow rad="63500">
                <a:srgbClr val="C9A0E8">
                  <a:alpha val="55000"/>
                </a:srgbClr>
              </a:glow>
            </a:effectLst>
          </c:spPr>
          <c:marker>
            <c:symbol val="circle"/>
            <c:size val="6"/>
            <c:spPr>
              <a:solidFill>
                <a:srgbClr val="7030A0"/>
              </a:solidFill>
              <a:ln w="22225">
                <a:solidFill>
                  <a:srgbClr val="FFFFFF"/>
                </a:solidFill>
                <a:prstDash val="solid"/>
              </a:ln>
              <a:effectLst>
                <a:glow rad="63500">
                  <a:srgbClr val="C9A0E8">
                    <a:alpha val="55000"/>
                  </a:srgbClr>
                </a:glow>
              </a:effectLst>
            </c:spPr>
          </c:marker>
          <c:dLbls>
            <c:spPr>
              <a:solidFill>
                <a:srgbClr val="FFFFFF">
                  <a:alpha val="92000"/>
                </a:srgbClr>
              </a:solidFill>
              <a:ln w="9525">
                <a:solidFill>
                  <a:srgbClr val="7030A0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50" b="1">
                    <a:solidFill>
                      <a:srgbClr val="7030A0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Lentelė!$AE$11:$AE$15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EBF-4ECD-89FF-C7556DD82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3044479"/>
        <c:axId val="1228657743"/>
      </c:lineChart>
      <c:catAx>
        <c:axId val="13430444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lt-LT"/>
                  <a:t>Partija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low"/>
        <c:spPr>
          <a:ln w="28575">
            <a:solidFill>
              <a:srgbClr val="1F3864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1228657743"/>
        <c:crosses val="autoZero"/>
        <c:auto val="1"/>
        <c:lblAlgn val="ctr"/>
        <c:lblOffset val="100"/>
        <c:noMultiLvlLbl val="0"/>
      </c:catAx>
      <c:valAx>
        <c:axId val="1228657743"/>
        <c:scaling>
          <c:orientation val="minMax"/>
        </c:scaling>
        <c:delete val="0"/>
        <c:axPos val="l"/>
        <c:majorGridlines>
          <c:spPr>
            <a:ln w="6350">
              <a:solidFill>
                <a:srgbClr val="D9D9D9"/>
              </a:solidFill>
            </a:ln>
          </c:spPr>
        </c:majorGridlines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343044479"/>
        <c:crosses val="autoZero"/>
        <c:crossBetween val="between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FFFF"/>
    </a:solidFill>
    <a:ln w="9525">
      <a:solidFill>
        <a:srgbClr val="D9D9D9"/>
      </a:solidFill>
    </a:ln>
    <a:effectLst>
      <a:outerShdw dist="35921" dir="2700000" algn="br">
        <a:srgbClr val="000000"/>
      </a:outerShdw>
    </a:effectLst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9100" cy="419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61</xdr:row>
      <xdr:rowOff>0</xdr:rowOff>
    </xdr:from>
    <xdr:ext cx="419100" cy="419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48</xdr:row>
      <xdr:rowOff>0</xdr:rowOff>
    </xdr:from>
    <xdr:to>
      <xdr:col>7</xdr:col>
      <xdr:colOff>0</xdr:colOff>
      <xdr:row>59</xdr:row>
      <xdr:rowOff>147320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17C0E1A-27D8-A719-51B6-99CE98B15C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7</xdr:col>
      <xdr:colOff>0</xdr:colOff>
      <xdr:row>48</xdr:row>
      <xdr:rowOff>0</xdr:rowOff>
    </xdr:from>
    <xdr:to>
      <xdr:col>15</xdr:col>
      <xdr:colOff>0</xdr:colOff>
      <xdr:row>59</xdr:row>
      <xdr:rowOff>147320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FE8CB25-4AB7-FFB2-2A95-2BBA48301E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533400" cy="5334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438150" cy="4381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2"/>
  <sheetViews>
    <sheetView showGridLines="0" showRowColHeaders="0" zoomScale="90" workbookViewId="0">
      <selection activeCell="F13" sqref="F13"/>
    </sheetView>
  </sheetViews>
  <sheetFormatPr defaultRowHeight="14.4" x14ac:dyDescent="0.3"/>
  <cols>
    <col min="1" max="1" width="3.44140625" customWidth="1"/>
    <col min="2" max="2" width="22" customWidth="1"/>
    <col min="3" max="3" width="5" customWidth="1"/>
    <col min="4" max="4" width="6.44140625" customWidth="1"/>
    <col min="5" max="5" width="7.21875" customWidth="1"/>
    <col min="6" max="6" width="6.44140625" customWidth="1"/>
    <col min="7" max="7" width="7.21875" customWidth="1"/>
    <col min="8" max="8" width="6.44140625" customWidth="1"/>
    <col min="9" max="9" width="7.21875" customWidth="1"/>
    <col min="10" max="10" width="6.44140625" customWidth="1"/>
    <col min="11" max="11" width="7.21875" customWidth="1"/>
    <col min="12" max="12" width="6.44140625" customWidth="1"/>
    <col min="13" max="13" width="7.21875" customWidth="1"/>
    <col min="14" max="14" width="10" customWidth="1"/>
    <col min="15" max="15" width="12.44140625" customWidth="1"/>
    <col min="16" max="16" width="2" customWidth="1"/>
    <col min="17" max="17" width="55" customWidth="1"/>
    <col min="18" max="22" width="3" hidden="1" customWidth="1"/>
    <col min="23" max="23" width="2" hidden="1" customWidth="1"/>
    <col min="24" max="26" width="9" hidden="1" customWidth="1"/>
    <col min="27" max="27" width="10" hidden="1" customWidth="1"/>
    <col min="28" max="28" width="12" hidden="1" customWidth="1"/>
    <col min="29" max="31" width="13" hidden="1" customWidth="1"/>
  </cols>
  <sheetData>
    <row r="1" spans="1:31" ht="22.05" customHeight="1" x14ac:dyDescent="0.3">
      <c r="C1" s="186" t="str">
        <f>Protokolas!$A$7</f>
        <v>← Pasirinkite lygą</v>
      </c>
      <c r="D1" s="187"/>
      <c r="E1" s="187"/>
      <c r="F1" s="187"/>
      <c r="G1" s="187"/>
      <c r="H1" s="187"/>
      <c r="I1" s="187"/>
      <c r="J1" s="187"/>
      <c r="K1" s="188"/>
      <c r="L1" s="206" t="str">
        <f>IF(Lyga="","LYGA?",Lyga&amp;" LYGA")</f>
        <v>LYGA?</v>
      </c>
      <c r="M1" s="207"/>
      <c r="N1" s="207"/>
      <c r="O1" s="208"/>
      <c r="Q1" s="1" t="str">
        <f>IF(NOT(ProtokolasUzpildytas),"PROTOKOLAS PRIVALO BŪTI PILNAI UŽPILDYTAS! Sudėtis ir rezultatų laukai atsiras patys, kai Protokolo lape nebeliks raudonų žymų.","")</f>
        <v>PROTOKOLAS PRIVALO BŪTI PILNAI UŽPILDYTAS! Sudėtis ir rezultatų laukai atsiras patys, kai Protokolo lape nebeliks raudonų žymų.</v>
      </c>
    </row>
    <row r="2" spans="1:31" ht="13.95" customHeight="1" x14ac:dyDescent="0.3">
      <c r="C2" s="189"/>
      <c r="D2" s="190"/>
      <c r="E2" s="190"/>
      <c r="F2" s="190"/>
      <c r="G2" s="190"/>
      <c r="H2" s="190"/>
      <c r="I2" s="190"/>
      <c r="J2" s="190"/>
      <c r="K2" s="191"/>
      <c r="L2" s="209" t="str">
        <f>IF(NOT(ISNUMBER(Protokolas!$D$9)),"",IF(MONTH(Protokolas!$D$9)&gt;=9,YEAR(Protokolas!$D$9)&amp;"/"&amp;(YEAR(Protokolas!$D$9)+1),(YEAR(Protokolas!$D$9)-1)&amp;"/"&amp;YEAR(Protokolas!$D$9))&amp;" m. sezonas")</f>
        <v/>
      </c>
      <c r="M2" s="207"/>
      <c r="N2" s="207"/>
      <c r="O2" s="208"/>
    </row>
    <row r="3" spans="1:31" ht="4.05" customHeight="1" x14ac:dyDescent="0.3"/>
    <row r="4" spans="1:31" ht="16.05" customHeight="1" x14ac:dyDescent="0.3">
      <c r="A4" s="202" t="s">
        <v>0</v>
      </c>
      <c r="B4" s="150"/>
      <c r="C4" s="145" t="str">
        <f>IF(Protokolas!$D$11="","",Protokolas!$D$11)</f>
        <v/>
      </c>
      <c r="D4" s="146"/>
      <c r="E4" s="146"/>
      <c r="F4" s="146"/>
      <c r="G4" s="146"/>
      <c r="H4" s="2" t="s">
        <v>1</v>
      </c>
      <c r="I4" s="195" t="str">
        <f>IF(Protokolas!$D$9="","",Protokolas!$D$9)</f>
        <v/>
      </c>
      <c r="J4" s="196"/>
      <c r="K4" s="2" t="s">
        <v>2</v>
      </c>
      <c r="L4" s="145" t="str">
        <f>IF(Protokolas!$D$13="","",Protokolas!$D$13)</f>
        <v/>
      </c>
      <c r="M4" s="146"/>
      <c r="N4" s="146"/>
      <c r="O4" s="146"/>
    </row>
    <row r="5" spans="1:31" ht="4.05" customHeight="1" x14ac:dyDescent="0.3"/>
    <row r="6" spans="1:31" ht="16.95" customHeight="1" x14ac:dyDescent="0.3">
      <c r="B6" s="149" t="s">
        <v>3</v>
      </c>
      <c r="C6" s="150"/>
      <c r="D6" s="184" t="str">
        <f>IF(Protokolas!$A$19="","",Protokolas!$A$19)</f>
        <v/>
      </c>
      <c r="E6" s="185"/>
      <c r="F6" s="185"/>
      <c r="G6" s="185"/>
      <c r="H6" s="185"/>
      <c r="I6" s="185"/>
      <c r="J6" s="138"/>
      <c r="K6" s="202" t="s">
        <v>4</v>
      </c>
      <c r="L6" s="150"/>
      <c r="M6" s="168">
        <f>SUM($D$27:$N$27)</f>
        <v>0</v>
      </c>
      <c r="N6" s="169"/>
      <c r="O6" s="170"/>
    </row>
    <row r="7" spans="1:31" ht="16.95" customHeight="1" x14ac:dyDescent="0.3">
      <c r="B7" s="149" t="s">
        <v>5</v>
      </c>
      <c r="C7" s="150"/>
      <c r="D7" s="184" t="str">
        <f>IF(Protokolas!$A$32="","",Protokolas!$A$32)</f>
        <v/>
      </c>
      <c r="E7" s="185"/>
      <c r="F7" s="185"/>
      <c r="G7" s="185"/>
      <c r="H7" s="185"/>
      <c r="I7" s="185"/>
      <c r="J7" s="138"/>
      <c r="K7" s="202" t="s">
        <v>4</v>
      </c>
      <c r="L7" s="150"/>
      <c r="M7" s="168">
        <f>SUM($D$47:$N$47)</f>
        <v>0</v>
      </c>
      <c r="N7" s="169"/>
      <c r="O7" s="170"/>
    </row>
    <row r="8" spans="1:31" ht="4.9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31" ht="16.05" customHeight="1" x14ac:dyDescent="0.3">
      <c r="A9" s="121" t="s">
        <v>6</v>
      </c>
      <c r="B9" s="122"/>
      <c r="C9" s="163" t="str">
        <f>IF(Protokolas!$A$19="","",Protokolas!$A$19)</f>
        <v/>
      </c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5"/>
      <c r="P9" s="4"/>
    </row>
    <row r="10" spans="1:31" ht="12" customHeight="1" x14ac:dyDescent="0.3">
      <c r="A10" s="210"/>
      <c r="B10" s="112" t="s">
        <v>7</v>
      </c>
      <c r="C10" s="112" t="s">
        <v>8</v>
      </c>
      <c r="D10" s="119" t="s">
        <v>9</v>
      </c>
      <c r="E10" s="120"/>
      <c r="F10" s="119" t="s">
        <v>10</v>
      </c>
      <c r="G10" s="120"/>
      <c r="H10" s="119" t="s">
        <v>11</v>
      </c>
      <c r="I10" s="120"/>
      <c r="J10" s="119" t="s">
        <v>12</v>
      </c>
      <c r="K10" s="120"/>
      <c r="L10" s="119" t="s">
        <v>13</v>
      </c>
      <c r="M10" s="120"/>
      <c r="N10" s="112" t="s">
        <v>14</v>
      </c>
      <c r="O10" s="172" t="s">
        <v>15</v>
      </c>
      <c r="P10" s="4"/>
      <c r="X10" s="5" t="s">
        <v>16</v>
      </c>
      <c r="Y10" s="5" t="s">
        <v>17</v>
      </c>
      <c r="Z10" s="5" t="s">
        <v>18</v>
      </c>
      <c r="AA10" s="5" t="s">
        <v>19</v>
      </c>
      <c r="AC10" s="5" t="s">
        <v>20</v>
      </c>
      <c r="AD10" s="5" t="s">
        <v>21</v>
      </c>
      <c r="AE10" s="5" t="s">
        <v>22</v>
      </c>
    </row>
    <row r="11" spans="1:31" ht="12" customHeight="1" x14ac:dyDescent="0.3">
      <c r="A11" s="211"/>
      <c r="B11" s="113"/>
      <c r="C11" s="113"/>
      <c r="D11" s="6" t="s">
        <v>23</v>
      </c>
      <c r="E11" s="6" t="s">
        <v>24</v>
      </c>
      <c r="F11" s="6" t="s">
        <v>23</v>
      </c>
      <c r="G11" s="6" t="s">
        <v>24</v>
      </c>
      <c r="H11" s="6" t="s">
        <v>23</v>
      </c>
      <c r="I11" s="6" t="s">
        <v>24</v>
      </c>
      <c r="J11" s="6" t="s">
        <v>23</v>
      </c>
      <c r="K11" s="6" t="s">
        <v>24</v>
      </c>
      <c r="L11" s="6" t="s">
        <v>23</v>
      </c>
      <c r="M11" s="6" t="s">
        <v>24</v>
      </c>
      <c r="N11" s="113"/>
      <c r="O11" s="173"/>
      <c r="P11" s="4"/>
      <c r="X11" s="7">
        <v>1</v>
      </c>
      <c r="Y11" s="7">
        <f>$D$22</f>
        <v>0</v>
      </c>
      <c r="Z11" s="7">
        <f>$D$42</f>
        <v>0</v>
      </c>
      <c r="AA11" s="7">
        <f>$D$23</f>
        <v>0</v>
      </c>
      <c r="AC11" s="7" t="e">
        <f>IF($AA11&gt;0,$AA11,NA())</f>
        <v>#N/A</v>
      </c>
      <c r="AD11" s="7" t="e">
        <f>IF($AA11&lt;0,$AA11,NA())</f>
        <v>#N/A</v>
      </c>
      <c r="AE11" s="7">
        <f>SUM($AA$11:$AA11)</f>
        <v>0</v>
      </c>
    </row>
    <row r="12" spans="1:31" ht="15" customHeight="1" x14ac:dyDescent="0.3">
      <c r="A12" s="203"/>
      <c r="B12" s="8" t="str">
        <f>IF(NOT(ProtokolasUzpildytas),"",IF(Protokolas!$B$22="","",Protokolas!$B$22))</f>
        <v/>
      </c>
      <c r="C12" s="9" t="str">
        <f>IF(NOT(ProtokolasUzpildytas),"",IF(Protokolas!$C$22="","",Protokolas!$C$22))</f>
        <v/>
      </c>
      <c r="D12" s="10"/>
      <c r="E12" s="11"/>
      <c r="F12" s="10"/>
      <c r="G12" s="11"/>
      <c r="H12" s="10"/>
      <c r="I12" s="11"/>
      <c r="J12" s="10"/>
      <c r="K12" s="11"/>
      <c r="L12" s="10"/>
      <c r="M12" s="11"/>
      <c r="N12" s="12" t="str">
        <f t="shared" ref="N12:N19" si="0">IF(OR($B12="",COUNT($E12,$G12,$I12,$K12,$M12)=0),"",SUM($E12,$G12,$I12,$K12,$M12)+COUNT($E12,$G12,$I12,$K12,$M12)*N($C12))</f>
        <v/>
      </c>
      <c r="O12" s="13" t="str">
        <f t="shared" ref="O12:O19" si="1">IF(OR($B12="",COUNT($E12,$G12,$I12,$K12,$M12)=0),"",AVERAGE($E12,$G12,$I12,$K12,$M12))</f>
        <v/>
      </c>
      <c r="P12" s="4"/>
      <c r="Q12" s="14" t="str">
        <f t="shared" ref="Q12:Q19" si="2">IF($R12&lt;&gt;"",$R12,IF($S12&lt;&gt;"",$S12,IF($T12&lt;&gt;"",$T12,IF($U12&lt;&gt;"",$U12,IF($V12&lt;&gt;"",$V12,"")))))</f>
        <v/>
      </c>
      <c r="R12" s="15" t="str">
        <f t="shared" ref="R12:R19" si="3">IF($B12="",IF(OR($D12&lt;&gt;"",$E12&lt;&gt;""),"← Eilutėje nėra žaidėjo (1 partija)",""),IF($D12="",IF($E12&lt;&gt;"","← Neįvesta pora ties rezultatu (1 partija)",""),IF(COUNTIF($D$12:$D$19,$D12)&gt;2,"← Per daug žaidėjų poroje (1 partija)","")))</f>
        <v/>
      </c>
      <c r="S12" s="15" t="str">
        <f t="shared" ref="S12:S19" si="4">IF($B12="",IF(OR($F12&lt;&gt;"",$G12&lt;&gt;""),"← Eilutėje nėra žaidėjo (2 partija)",""),IF($F12="",IF($G12&lt;&gt;"","← Neįvesta pora ties rezultatu (2 partija)",""),IF(AND($D12&lt;&gt;"",$F12&lt;&gt;"",LEFT($F12,1)&lt;&gt;LEFT($D12,1)),"← NELEGALUS keitimas (2 partija)",IF(COUNTIF($F$12:$F$19,$F12)&gt;2,"← Per daug žaidėjų poroje (2 partija)",""))))</f>
        <v/>
      </c>
      <c r="T12" s="15" t="str">
        <f t="shared" ref="T12:T19" si="5">IF($B12="",IF(OR($H12&lt;&gt;"",$I12&lt;&gt;""),"← Eilutėje nėra žaidėjo (3 partija)",""),IF($H12="",IF($I12&lt;&gt;"","← Neįvesta pora ties rezultatu (3 partija)",""),IF(AND($F12&lt;&gt;"",$H12&lt;&gt;"",LEFT($H12,1)&lt;&gt;LEFT($F12,1)),"← NELEGALUS keitimas (3 partija)",IF(COUNTIF($H$12:$H$19,$H12)&gt;2,"← Per daug žaidėjų poroje (3 partija)",""))))</f>
        <v/>
      </c>
      <c r="U12" s="15" t="str">
        <f t="shared" ref="U12:U19" si="6">IF($B12="",IF(OR($J12&lt;&gt;"",$K12&lt;&gt;""),"← Eilutėje nėra žaidėjo (4 partija)",""),IF($J12="",IF($K12&lt;&gt;"","← Neįvesta pora ties rezultatu (4 partija)",""),IF(COUNTIF($J$12:$J$19,$J12)&gt;2,"← Per daug žaidėjų poroje (4 partija)","")))</f>
        <v/>
      </c>
      <c r="V12" s="15" t="str">
        <f t="shared" ref="V12:V19" si="7">IF($B12="",IF(OR($L12&lt;&gt;"",$M12&lt;&gt;""),"← Eilutėje nėra žaidėjo (5 partija)",""),IF($L12="",IF($M12&lt;&gt;"","← Neįvesta pora ties rezultatu (5 partija)",""),IF(AND($J12&lt;&gt;"",$L12&lt;&gt;"",LEFT($L12,1)&lt;&gt;LEFT($J12,1)),"← NELEGALUS keitimas (5 partija)",IF(COUNTIF($L$12:$L$19,$L12)&gt;2,"← Per daug žaidėjų poroje (5 partija)",""))))</f>
        <v/>
      </c>
      <c r="X12" s="7">
        <v>2</v>
      </c>
      <c r="Y12" s="7">
        <f>$F$22</f>
        <v>0</v>
      </c>
      <c r="Z12" s="7">
        <f>$F$42</f>
        <v>0</v>
      </c>
      <c r="AA12" s="7">
        <f>$F$23</f>
        <v>0</v>
      </c>
      <c r="AC12" s="7" t="e">
        <f>IF($AA12&gt;0,$AA12,NA())</f>
        <v>#N/A</v>
      </c>
      <c r="AD12" s="7" t="e">
        <f>IF($AA12&lt;0,$AA12,NA())</f>
        <v>#N/A</v>
      </c>
      <c r="AE12" s="7">
        <f>SUM($AA$11:$AA12)</f>
        <v>0</v>
      </c>
    </row>
    <row r="13" spans="1:31" ht="15" customHeight="1" x14ac:dyDescent="0.3">
      <c r="A13" s="204"/>
      <c r="B13" s="16" t="str">
        <f>IF(NOT(ProtokolasUzpildytas),"",IF(Protokolas!$B$23="","",Protokolas!$B$23))</f>
        <v/>
      </c>
      <c r="C13" s="17" t="str">
        <f>IF(NOT(ProtokolasUzpildytas),"",IF(Protokolas!$C$23="","",Protokolas!$C$23))</f>
        <v/>
      </c>
      <c r="D13" s="10"/>
      <c r="E13" s="11"/>
      <c r="F13" s="10"/>
      <c r="G13" s="11"/>
      <c r="H13" s="10"/>
      <c r="I13" s="11"/>
      <c r="J13" s="10"/>
      <c r="K13" s="11"/>
      <c r="L13" s="10"/>
      <c r="M13" s="11"/>
      <c r="N13" s="12" t="str">
        <f t="shared" si="0"/>
        <v/>
      </c>
      <c r="O13" s="13" t="str">
        <f t="shared" si="1"/>
        <v/>
      </c>
      <c r="P13" s="4"/>
      <c r="Q13" s="14" t="str">
        <f t="shared" si="2"/>
        <v/>
      </c>
      <c r="R13" s="15" t="str">
        <f t="shared" si="3"/>
        <v/>
      </c>
      <c r="S13" s="15" t="str">
        <f t="shared" si="4"/>
        <v/>
      </c>
      <c r="T13" s="15" t="str">
        <f t="shared" si="5"/>
        <v/>
      </c>
      <c r="U13" s="15" t="str">
        <f t="shared" si="6"/>
        <v/>
      </c>
      <c r="V13" s="15" t="str">
        <f t="shared" si="7"/>
        <v/>
      </c>
      <c r="X13" s="7">
        <v>3</v>
      </c>
      <c r="Y13" s="7">
        <f>$H$22</f>
        <v>0</v>
      </c>
      <c r="Z13" s="7">
        <f>$H$42</f>
        <v>0</v>
      </c>
      <c r="AA13" s="7">
        <f>$H$23</f>
        <v>0</v>
      </c>
      <c r="AC13" s="7" t="e">
        <f>IF($AA13&gt;0,$AA13,NA())</f>
        <v>#N/A</v>
      </c>
      <c r="AD13" s="7" t="e">
        <f>IF($AA13&lt;0,$AA13,NA())</f>
        <v>#N/A</v>
      </c>
      <c r="AE13" s="7">
        <f>SUM($AA$11:$AA13)</f>
        <v>0</v>
      </c>
    </row>
    <row r="14" spans="1:31" ht="15" customHeight="1" x14ac:dyDescent="0.3">
      <c r="A14" s="204"/>
      <c r="B14" s="8" t="str">
        <f>IF(NOT(ProtokolasUzpildytas),"",IF(Protokolas!$B$24="","",Protokolas!$B$24))</f>
        <v/>
      </c>
      <c r="C14" s="9" t="str">
        <f>IF(NOT(ProtokolasUzpildytas),"",IF(Protokolas!$C$24="","",Protokolas!$C$24))</f>
        <v/>
      </c>
      <c r="D14" s="10"/>
      <c r="E14" s="11"/>
      <c r="F14" s="10"/>
      <c r="G14" s="11"/>
      <c r="H14" s="10"/>
      <c r="I14" s="11"/>
      <c r="J14" s="10"/>
      <c r="K14" s="11"/>
      <c r="L14" s="10"/>
      <c r="M14" s="11"/>
      <c r="N14" s="12" t="str">
        <f t="shared" si="0"/>
        <v/>
      </c>
      <c r="O14" s="13" t="str">
        <f t="shared" si="1"/>
        <v/>
      </c>
      <c r="P14" s="4"/>
      <c r="Q14" s="14" t="str">
        <f t="shared" si="2"/>
        <v/>
      </c>
      <c r="R14" s="15" t="str">
        <f t="shared" si="3"/>
        <v/>
      </c>
      <c r="S14" s="15" t="str">
        <f t="shared" si="4"/>
        <v/>
      </c>
      <c r="T14" s="15" t="str">
        <f t="shared" si="5"/>
        <v/>
      </c>
      <c r="U14" s="15" t="str">
        <f t="shared" si="6"/>
        <v/>
      </c>
      <c r="V14" s="15" t="str">
        <f t="shared" si="7"/>
        <v/>
      </c>
      <c r="X14" s="7">
        <v>4</v>
      </c>
      <c r="Y14" s="7">
        <f>$J$22</f>
        <v>0</v>
      </c>
      <c r="Z14" s="7">
        <f>$J$42</f>
        <v>0</v>
      </c>
      <c r="AA14" s="7">
        <f>$J$23</f>
        <v>0</v>
      </c>
      <c r="AC14" s="7" t="e">
        <f>IF($AA14&gt;0,$AA14,NA())</f>
        <v>#N/A</v>
      </c>
      <c r="AD14" s="7" t="e">
        <f>IF($AA14&lt;0,$AA14,NA())</f>
        <v>#N/A</v>
      </c>
      <c r="AE14" s="7">
        <f>SUM($AA$11:$AA14)</f>
        <v>0</v>
      </c>
    </row>
    <row r="15" spans="1:31" ht="15" customHeight="1" x14ac:dyDescent="0.3">
      <c r="A15" s="204"/>
      <c r="B15" s="16" t="str">
        <f>IF(NOT(ProtokolasUzpildytas),"",IF(Protokolas!$B$25="","",Protokolas!$B$25))</f>
        <v/>
      </c>
      <c r="C15" s="17" t="str">
        <f>IF(NOT(ProtokolasUzpildytas),"",IF(Protokolas!$C$25="","",Protokolas!$C$25))</f>
        <v/>
      </c>
      <c r="D15" s="10"/>
      <c r="E15" s="11"/>
      <c r="F15" s="10"/>
      <c r="G15" s="11"/>
      <c r="H15" s="10"/>
      <c r="I15" s="11"/>
      <c r="J15" s="10"/>
      <c r="K15" s="11"/>
      <c r="L15" s="10"/>
      <c r="M15" s="11"/>
      <c r="N15" s="12" t="str">
        <f t="shared" si="0"/>
        <v/>
      </c>
      <c r="O15" s="13" t="str">
        <f t="shared" si="1"/>
        <v/>
      </c>
      <c r="P15" s="4"/>
      <c r="Q15" s="14" t="str">
        <f t="shared" si="2"/>
        <v/>
      </c>
      <c r="R15" s="15" t="str">
        <f t="shared" si="3"/>
        <v/>
      </c>
      <c r="S15" s="15" t="str">
        <f t="shared" si="4"/>
        <v/>
      </c>
      <c r="T15" s="15" t="str">
        <f t="shared" si="5"/>
        <v/>
      </c>
      <c r="U15" s="15" t="str">
        <f t="shared" si="6"/>
        <v/>
      </c>
      <c r="V15" s="15" t="str">
        <f t="shared" si="7"/>
        <v/>
      </c>
      <c r="X15" s="7">
        <v>5</v>
      </c>
      <c r="Y15" s="7">
        <f>$L$22</f>
        <v>0</v>
      </c>
      <c r="Z15" s="7">
        <f>$L$42</f>
        <v>0</v>
      </c>
      <c r="AA15" s="7">
        <f>$L$23</f>
        <v>0</v>
      </c>
      <c r="AC15" s="7" t="e">
        <f>IF($AA15&gt;0,$AA15,NA())</f>
        <v>#N/A</v>
      </c>
      <c r="AD15" s="7" t="e">
        <f>IF($AA15&lt;0,$AA15,NA())</f>
        <v>#N/A</v>
      </c>
      <c r="AE15" s="7">
        <f>SUM($AA$11:$AA15)</f>
        <v>0</v>
      </c>
    </row>
    <row r="16" spans="1:31" ht="15" customHeight="1" x14ac:dyDescent="0.3">
      <c r="A16" s="204"/>
      <c r="B16" s="8" t="str">
        <f>IF(NOT(ProtokolasUzpildytas),"",IF(Protokolas!$B$26="","",Protokolas!$B$26))</f>
        <v/>
      </c>
      <c r="C16" s="9" t="str">
        <f>IF(NOT(ProtokolasUzpildytas),"",IF(Protokolas!$C$26="","",Protokolas!$C$26))</f>
        <v/>
      </c>
      <c r="D16" s="10"/>
      <c r="E16" s="11"/>
      <c r="F16" s="10"/>
      <c r="G16" s="11"/>
      <c r="H16" s="10"/>
      <c r="I16" s="11"/>
      <c r="J16" s="10"/>
      <c r="K16" s="11"/>
      <c r="L16" s="10"/>
      <c r="M16" s="11"/>
      <c r="N16" s="12" t="str">
        <f t="shared" si="0"/>
        <v/>
      </c>
      <c r="O16" s="13" t="str">
        <f t="shared" si="1"/>
        <v/>
      </c>
      <c r="P16" s="4"/>
      <c r="Q16" s="14" t="str">
        <f t="shared" si="2"/>
        <v/>
      </c>
      <c r="R16" s="15" t="str">
        <f t="shared" si="3"/>
        <v/>
      </c>
      <c r="S16" s="15" t="str">
        <f t="shared" si="4"/>
        <v/>
      </c>
      <c r="T16" s="15" t="str">
        <f t="shared" si="5"/>
        <v/>
      </c>
      <c r="U16" s="15" t="str">
        <f t="shared" si="6"/>
        <v/>
      </c>
      <c r="V16" s="15" t="str">
        <f t="shared" si="7"/>
        <v/>
      </c>
    </row>
    <row r="17" spans="1:22" ht="15" customHeight="1" x14ac:dyDescent="0.3">
      <c r="A17" s="204"/>
      <c r="B17" s="16" t="str">
        <f>IF(NOT(ProtokolasUzpildytas),"",IF(Protokolas!$B$27="","",Protokolas!$B$27))</f>
        <v/>
      </c>
      <c r="C17" s="17" t="str">
        <f>IF(NOT(ProtokolasUzpildytas),"",IF(Protokolas!$C$27="","",Protokolas!$C$27))</f>
        <v/>
      </c>
      <c r="D17" s="10"/>
      <c r="E17" s="11"/>
      <c r="F17" s="10"/>
      <c r="G17" s="11"/>
      <c r="H17" s="10"/>
      <c r="I17" s="11"/>
      <c r="J17" s="10"/>
      <c r="K17" s="11"/>
      <c r="L17" s="10"/>
      <c r="M17" s="11"/>
      <c r="N17" s="12" t="str">
        <f t="shared" si="0"/>
        <v/>
      </c>
      <c r="O17" s="13" t="str">
        <f t="shared" si="1"/>
        <v/>
      </c>
      <c r="P17" s="4"/>
      <c r="Q17" s="14" t="str">
        <f t="shared" si="2"/>
        <v/>
      </c>
      <c r="R17" s="15" t="str">
        <f t="shared" si="3"/>
        <v/>
      </c>
      <c r="S17" s="15" t="str">
        <f t="shared" si="4"/>
        <v/>
      </c>
      <c r="T17" s="15" t="str">
        <f t="shared" si="5"/>
        <v/>
      </c>
      <c r="U17" s="15" t="str">
        <f t="shared" si="6"/>
        <v/>
      </c>
      <c r="V17" s="15" t="str">
        <f t="shared" si="7"/>
        <v/>
      </c>
    </row>
    <row r="18" spans="1:22" ht="15" customHeight="1" x14ac:dyDescent="0.3">
      <c r="A18" s="204"/>
      <c r="B18" s="8" t="str">
        <f>IF(NOT(ProtokolasUzpildytas),"",IF(Protokolas!$B$28="","",Protokolas!$B$28))</f>
        <v/>
      </c>
      <c r="C18" s="9" t="str">
        <f>IF(NOT(ProtokolasUzpildytas),"",IF(Protokolas!$C$28="","",Protokolas!$C$28))</f>
        <v/>
      </c>
      <c r="D18" s="10"/>
      <c r="E18" s="11"/>
      <c r="F18" s="10"/>
      <c r="G18" s="11"/>
      <c r="H18" s="10"/>
      <c r="I18" s="11"/>
      <c r="J18" s="10"/>
      <c r="K18" s="11"/>
      <c r="L18" s="10"/>
      <c r="M18" s="11"/>
      <c r="N18" s="12" t="str">
        <f t="shared" si="0"/>
        <v/>
      </c>
      <c r="O18" s="13" t="str">
        <f t="shared" si="1"/>
        <v/>
      </c>
      <c r="P18" s="4"/>
      <c r="Q18" s="14" t="str">
        <f t="shared" si="2"/>
        <v/>
      </c>
      <c r="R18" s="15" t="str">
        <f t="shared" si="3"/>
        <v/>
      </c>
      <c r="S18" s="15" t="str">
        <f t="shared" si="4"/>
        <v/>
      </c>
      <c r="T18" s="15" t="str">
        <f t="shared" si="5"/>
        <v/>
      </c>
      <c r="U18" s="15" t="str">
        <f t="shared" si="6"/>
        <v/>
      </c>
      <c r="V18" s="15" t="str">
        <f t="shared" si="7"/>
        <v/>
      </c>
    </row>
    <row r="19" spans="1:22" ht="15" customHeight="1" x14ac:dyDescent="0.3">
      <c r="A19" s="204"/>
      <c r="B19" s="16" t="str">
        <f>IF(NOT(ProtokolasUzpildytas),"",IF(Protokolas!$B$29="","",Protokolas!$B$29))</f>
        <v/>
      </c>
      <c r="C19" s="17" t="str">
        <f>IF(NOT(ProtokolasUzpildytas),"",IF(Protokolas!$C$29="","",Protokolas!$C$29))</f>
        <v/>
      </c>
      <c r="D19" s="10"/>
      <c r="E19" s="11"/>
      <c r="F19" s="10"/>
      <c r="G19" s="11"/>
      <c r="H19" s="10"/>
      <c r="I19" s="11"/>
      <c r="J19" s="10"/>
      <c r="K19" s="11"/>
      <c r="L19" s="10"/>
      <c r="M19" s="11"/>
      <c r="N19" s="18" t="str">
        <f t="shared" si="0"/>
        <v/>
      </c>
      <c r="O19" s="19" t="str">
        <f t="shared" si="1"/>
        <v/>
      </c>
      <c r="P19" s="4"/>
      <c r="Q19" s="14" t="str">
        <f t="shared" si="2"/>
        <v/>
      </c>
      <c r="R19" s="15" t="str">
        <f t="shared" si="3"/>
        <v/>
      </c>
      <c r="S19" s="15" t="str">
        <f t="shared" si="4"/>
        <v/>
      </c>
      <c r="T19" s="15" t="str">
        <f t="shared" si="5"/>
        <v/>
      </c>
      <c r="U19" s="15" t="str">
        <f t="shared" si="6"/>
        <v/>
      </c>
      <c r="V19" s="15" t="str">
        <f t="shared" si="7"/>
        <v/>
      </c>
    </row>
    <row r="20" spans="1:22" ht="16.05" customHeight="1" x14ac:dyDescent="0.3">
      <c r="A20" s="204"/>
      <c r="B20" s="137" t="s">
        <v>25</v>
      </c>
      <c r="C20" s="138"/>
      <c r="D20" s="110">
        <f>SUMIFS($E$12:$E$19,$D$12:$D$19,"1*")+SUMIFS($C$12:$C$19,$D$12:$D$19,"1*",$E$12:$E$19,"&gt;0")</f>
        <v>0</v>
      </c>
      <c r="E20" s="111"/>
      <c r="F20" s="166">
        <f>SUMIFS($G$12:$G$19,$F$12:$F$19,"1*")+SUMIFS($C$12:$C$19,$F$12:$F$19,"1*",$G$12:$G$19,"&gt;0")</f>
        <v>0</v>
      </c>
      <c r="G20" s="181"/>
      <c r="H20" s="110">
        <f>SUMIFS($I$12:$I$19,$H$12:$H$19,"1*")+SUMIFS($C$12:$C$19,$H$12:$H$19,"1*",$I$12:$I$19,"&gt;0")</f>
        <v>0</v>
      </c>
      <c r="I20" s="111"/>
      <c r="J20" s="110">
        <f>SUMIFS($K$12:$K$19,$J$12:$J$19,"1*")+SUMIFS($C$12:$C$19,$J$12:$J$19,"1*",$K$12:$K$19,"&gt;0")</f>
        <v>0</v>
      </c>
      <c r="K20" s="111"/>
      <c r="L20" s="166">
        <f>SUMIFS($M$12:$M$19,$L$12:$L$19,"1*")+SUMIFS($C$12:$C$19,$L$12:$L$19,"1*",$M$12:$M$19,"&gt;0")</f>
        <v>0</v>
      </c>
      <c r="M20" s="167"/>
      <c r="N20" s="179">
        <f>SUM($D$22:$M$22)</f>
        <v>0</v>
      </c>
      <c r="O20" s="151" t="str">
        <f>IF(COUNT($E$12:$E$19,$G$12:$G$19,$I$12:$I$19,$K$12:$K$19,$M$12:$M$19)=0,"",AVERAGE($E$12:$E$19,$G$12:$G$19,$I$12:$I$19,$K$12:$K$19,$M$12:$M$19))</f>
        <v/>
      </c>
      <c r="P20" s="4"/>
    </row>
    <row r="21" spans="1:22" ht="16.05" customHeight="1" x14ac:dyDescent="0.3">
      <c r="A21" s="204"/>
      <c r="B21" s="137" t="s">
        <v>26</v>
      </c>
      <c r="C21" s="138"/>
      <c r="D21" s="166">
        <f>SUMIFS($E$12:$E$19,$D$12:$D$19,"2*")+SUMIFS($C$12:$C$19,$D$12:$D$19,"2*",$E$12:$E$19,"&gt;0")</f>
        <v>0</v>
      </c>
      <c r="E21" s="181"/>
      <c r="F21" s="110">
        <f>SUMIFS($G$12:$G$19,$F$12:$F$19,"2*")+SUMIFS($C$12:$C$19,$F$12:$F$19,"2*",$G$12:$G$19,"&gt;0")</f>
        <v>0</v>
      </c>
      <c r="G21" s="111"/>
      <c r="H21" s="166">
        <f>SUMIFS($I$12:$I$19,$H$12:$H$19,"2*")+SUMIFS($C$12:$C$19,$H$12:$H$19,"2*",$I$12:$I$19,"&gt;0")</f>
        <v>0</v>
      </c>
      <c r="I21" s="181"/>
      <c r="J21" s="166">
        <f>SUMIFS($K$12:$K$19,$J$12:$J$19,"2*")+SUMIFS($C$12:$C$19,$J$12:$J$19,"2*",$K$12:$K$19,"&gt;0")</f>
        <v>0</v>
      </c>
      <c r="K21" s="181"/>
      <c r="L21" s="110">
        <f>SUMIFS($M$12:$M$19,$L$12:$L$19,"2*")+SUMIFS($C$12:$C$19,$L$12:$L$19,"2*",$M$12:$M$19,"&gt;0")</f>
        <v>0</v>
      </c>
      <c r="M21" s="183"/>
      <c r="N21" s="180"/>
      <c r="O21" s="152"/>
      <c r="P21" s="4"/>
    </row>
    <row r="22" spans="1:22" ht="13.95" customHeight="1" x14ac:dyDescent="0.3">
      <c r="A22" s="204"/>
      <c r="B22" s="125" t="s">
        <v>27</v>
      </c>
      <c r="C22" s="126"/>
      <c r="D22" s="128">
        <f>SUM(D20:E21)</f>
        <v>0</v>
      </c>
      <c r="E22" s="129"/>
      <c r="F22" s="128">
        <f>SUM(F20:G21)</f>
        <v>0</v>
      </c>
      <c r="G22" s="129"/>
      <c r="H22" s="128">
        <f>SUM(H20:I21)</f>
        <v>0</v>
      </c>
      <c r="I22" s="129"/>
      <c r="J22" s="128">
        <f>SUM(J20:K21)</f>
        <v>0</v>
      </c>
      <c r="K22" s="129"/>
      <c r="L22" s="128">
        <f>SUM(L20:M21)</f>
        <v>0</v>
      </c>
      <c r="M22" s="174"/>
      <c r="N22" s="20" t="s">
        <v>28</v>
      </c>
      <c r="O22" s="21" t="str">
        <f>IF(COUNT($E$12:$E$19,$G$12:$G$19,$I$12:$I$19,$K$12:$K$19,$M$12:$M$19)=0,"",$N$20/COUNT($E$12:$E$19,$G$12:$G$19,$I$12:$I$19,$K$12:$K$19,$M$12:$M$19))</f>
        <v/>
      </c>
      <c r="P22" s="4"/>
    </row>
    <row r="23" spans="1:22" ht="16.05" customHeight="1" x14ac:dyDescent="0.3">
      <c r="A23" s="204"/>
      <c r="B23" s="140" t="s">
        <v>29</v>
      </c>
      <c r="C23" s="138"/>
      <c r="D23" s="153">
        <f>D22-D42</f>
        <v>0</v>
      </c>
      <c r="E23" s="154"/>
      <c r="F23" s="153">
        <f>F22-F42</f>
        <v>0</v>
      </c>
      <c r="G23" s="154"/>
      <c r="H23" s="153">
        <f>H22-H42</f>
        <v>0</v>
      </c>
      <c r="I23" s="154"/>
      <c r="J23" s="153">
        <f>J22-J42</f>
        <v>0</v>
      </c>
      <c r="K23" s="154"/>
      <c r="L23" s="153">
        <f>L22-L42</f>
        <v>0</v>
      </c>
      <c r="M23" s="154"/>
      <c r="N23" s="159">
        <f>$N$20-$N$40</f>
        <v>0</v>
      </c>
      <c r="O23" s="160"/>
      <c r="P23" s="4"/>
    </row>
    <row r="24" spans="1:22" ht="6" hidden="1" customHeight="1" x14ac:dyDescent="0.3">
      <c r="A24" s="204"/>
      <c r="B24" s="182" t="s">
        <v>30</v>
      </c>
      <c r="C24" s="133"/>
      <c r="D24" s="123">
        <f>IF(D20=0,0,IF(D20&gt;D40,2,IF(D20=D40,1,0)))</f>
        <v>0</v>
      </c>
      <c r="E24" s="124"/>
      <c r="F24" s="123">
        <f>IF(F20=0,0,IF(F20&gt;F41,2,IF(F20=F41,1,0)))</f>
        <v>0</v>
      </c>
      <c r="G24" s="124"/>
      <c r="H24" s="123">
        <f>IF(H20=0,0,IF(H20&gt;H40,2,IF(H20=H40,1,0)))</f>
        <v>0</v>
      </c>
      <c r="I24" s="124"/>
      <c r="J24" s="123">
        <f>IF(J20=0,0,IF(J20&gt;J40,2,IF(J20=J40,1,0)))</f>
        <v>0</v>
      </c>
      <c r="K24" s="124"/>
      <c r="L24" s="123">
        <f>IF(L20=0,0,IF(L20&gt;L41,2,IF(L20=L41,1,0)))</f>
        <v>0</v>
      </c>
      <c r="M24" s="124"/>
      <c r="N24" s="116"/>
      <c r="O24" s="141">
        <f>SUM($D$27:$N$27)</f>
        <v>0</v>
      </c>
      <c r="P24" s="4"/>
    </row>
    <row r="25" spans="1:22" ht="6" hidden="1" customHeight="1" x14ac:dyDescent="0.3">
      <c r="A25" s="204"/>
      <c r="B25" s="182" t="s">
        <v>31</v>
      </c>
      <c r="C25" s="133"/>
      <c r="D25" s="123">
        <f>IF(D21=0,0,IF(D21&gt;D41,2,IF(D21=D41,1,0)))</f>
        <v>0</v>
      </c>
      <c r="E25" s="124"/>
      <c r="F25" s="123">
        <f>IF(F21=0,0,IF(F21&gt;F40,2,IF(F21=F40,1,0)))</f>
        <v>0</v>
      </c>
      <c r="G25" s="124"/>
      <c r="H25" s="123">
        <f>IF(H21=0,0,IF(H21&gt;H41,2,IF(H21=H41,1,0)))</f>
        <v>0</v>
      </c>
      <c r="I25" s="124"/>
      <c r="J25" s="123">
        <f>IF(J21=0,0,IF(J21&gt;J41,2,IF(J21=J41,1,0)))</f>
        <v>0</v>
      </c>
      <c r="K25" s="124"/>
      <c r="L25" s="123">
        <f>IF(L21=0,0,IF(L21&gt;L40,2,IF(L21=L40,1,0)))</f>
        <v>0</v>
      </c>
      <c r="M25" s="124"/>
      <c r="N25" s="117"/>
      <c r="O25" s="142"/>
      <c r="P25" s="4"/>
    </row>
    <row r="26" spans="1:22" ht="6" hidden="1" customHeight="1" x14ac:dyDescent="0.3">
      <c r="A26" s="204"/>
      <c r="B26" s="182" t="s">
        <v>32</v>
      </c>
      <c r="C26" s="133"/>
      <c r="D26" s="123">
        <f>IF(D22=0,0,IF(D22&gt;D42,2,IF(D22=D42,1,0)))</f>
        <v>0</v>
      </c>
      <c r="E26" s="124"/>
      <c r="F26" s="123">
        <f>IF(F22=0,0,IF(F22&gt;F42,2,IF(F22=F42,1,0)))</f>
        <v>0</v>
      </c>
      <c r="G26" s="124"/>
      <c r="H26" s="123">
        <f>IF(H22=0,0,IF(H22&gt;H42,2,IF(H22=H42,1,0)))</f>
        <v>0</v>
      </c>
      <c r="I26" s="124"/>
      <c r="J26" s="123">
        <f>IF(J22=0,0,IF(J22&gt;J42,2,IF(J22=J42,1,0)))</f>
        <v>0</v>
      </c>
      <c r="K26" s="124"/>
      <c r="L26" s="123">
        <f>IF(L22=0,0,IF(L22&gt;L42,2,IF(L22=L42,1,0)))</f>
        <v>0</v>
      </c>
      <c r="M26" s="124"/>
      <c r="N26" s="118"/>
      <c r="O26" s="142"/>
      <c r="P26" s="4"/>
    </row>
    <row r="27" spans="1:22" ht="24" customHeight="1" x14ac:dyDescent="0.3">
      <c r="A27" s="205"/>
      <c r="B27" s="192" t="s">
        <v>33</v>
      </c>
      <c r="C27" s="193"/>
      <c r="D27" s="161">
        <f>SUM(D24:E26)</f>
        <v>0</v>
      </c>
      <c r="E27" s="162"/>
      <c r="F27" s="161">
        <f>SUM(F24:G26)</f>
        <v>0</v>
      </c>
      <c r="G27" s="162"/>
      <c r="H27" s="161">
        <f>SUM(H24:I26)</f>
        <v>0</v>
      </c>
      <c r="I27" s="162"/>
      <c r="J27" s="161">
        <f>SUM(J24:K26)</f>
        <v>0</v>
      </c>
      <c r="K27" s="162"/>
      <c r="L27" s="161">
        <f>SUM(L24:M26)</f>
        <v>0</v>
      </c>
      <c r="M27" s="162"/>
      <c r="N27" s="22">
        <f>IF(SUM($D$27:$M$27)+SUM($D$47:$M$47)&lt;30,0,IF($N$20&gt;$N$40,6,IF($N$20=$N$40,3,0)))</f>
        <v>0</v>
      </c>
      <c r="O27" s="143"/>
      <c r="P27" s="4"/>
    </row>
    <row r="28" spans="1:22" ht="6" customHeight="1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1:22" ht="16.05" customHeight="1" x14ac:dyDescent="0.3">
      <c r="A29" s="121" t="s">
        <v>34</v>
      </c>
      <c r="B29" s="122"/>
      <c r="C29" s="163" t="str">
        <f>IF(Protokolas!$A$32="","",Protokolas!$A$32)</f>
        <v/>
      </c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5"/>
      <c r="P29" s="4"/>
    </row>
    <row r="30" spans="1:22" ht="12" customHeight="1" x14ac:dyDescent="0.3">
      <c r="A30" s="210"/>
      <c r="B30" s="112" t="s">
        <v>7</v>
      </c>
      <c r="C30" s="112" t="s">
        <v>8</v>
      </c>
      <c r="D30" s="119" t="s">
        <v>9</v>
      </c>
      <c r="E30" s="120"/>
      <c r="F30" s="119" t="s">
        <v>10</v>
      </c>
      <c r="G30" s="120"/>
      <c r="H30" s="119" t="s">
        <v>11</v>
      </c>
      <c r="I30" s="120"/>
      <c r="J30" s="119" t="s">
        <v>12</v>
      </c>
      <c r="K30" s="120"/>
      <c r="L30" s="119" t="s">
        <v>13</v>
      </c>
      <c r="M30" s="120"/>
      <c r="N30" s="112" t="s">
        <v>14</v>
      </c>
      <c r="O30" s="172" t="s">
        <v>15</v>
      </c>
      <c r="P30" s="4"/>
    </row>
    <row r="31" spans="1:22" ht="12" customHeight="1" x14ac:dyDescent="0.3">
      <c r="A31" s="211"/>
      <c r="B31" s="113"/>
      <c r="C31" s="113"/>
      <c r="D31" s="6" t="s">
        <v>23</v>
      </c>
      <c r="E31" s="6" t="s">
        <v>24</v>
      </c>
      <c r="F31" s="6" t="s">
        <v>23</v>
      </c>
      <c r="G31" s="6" t="s">
        <v>24</v>
      </c>
      <c r="H31" s="6" t="s">
        <v>23</v>
      </c>
      <c r="I31" s="6" t="s">
        <v>24</v>
      </c>
      <c r="J31" s="6" t="s">
        <v>23</v>
      </c>
      <c r="K31" s="6" t="s">
        <v>24</v>
      </c>
      <c r="L31" s="6" t="s">
        <v>23</v>
      </c>
      <c r="M31" s="6" t="s">
        <v>24</v>
      </c>
      <c r="N31" s="113"/>
      <c r="O31" s="173"/>
      <c r="P31" s="4"/>
    </row>
    <row r="32" spans="1:22" ht="15" customHeight="1" x14ac:dyDescent="0.3">
      <c r="A32" s="198"/>
      <c r="B32" s="8" t="str">
        <f>IF(NOT(ProtokolasUzpildytas),"",IF(Protokolas!$B$35="","",Protokolas!$B$35))</f>
        <v/>
      </c>
      <c r="C32" s="9" t="str">
        <f>IF(NOT(ProtokolasUzpildytas),"",IF(Protokolas!$C$35="","",Protokolas!$C$35))</f>
        <v/>
      </c>
      <c r="D32" s="10"/>
      <c r="E32" s="11"/>
      <c r="F32" s="10"/>
      <c r="G32" s="11"/>
      <c r="H32" s="10"/>
      <c r="I32" s="11"/>
      <c r="J32" s="10"/>
      <c r="K32" s="11"/>
      <c r="L32" s="10"/>
      <c r="M32" s="11"/>
      <c r="N32" s="12" t="str">
        <f t="shared" ref="N32:N39" si="8">IF(OR($B32="",COUNT($E32,$G32,$I32,$K32,$M32)=0),"",SUM($E32,$G32,$I32,$K32,$M32)+COUNT($E32,$G32,$I32,$K32,$M32)*N($C32))</f>
        <v/>
      </c>
      <c r="O32" s="13" t="str">
        <f t="shared" ref="O32:O39" si="9">IF(OR($B32="",COUNT($E32,$G32,$I32,$K32,$M32)=0),"",AVERAGE($E32,$G32,$I32,$K32,$M32))</f>
        <v/>
      </c>
      <c r="P32" s="4"/>
      <c r="Q32" s="14" t="str">
        <f t="shared" ref="Q32:Q39" si="10">IF($R32&lt;&gt;"",$R32,IF($S32&lt;&gt;"",$S32,IF($T32&lt;&gt;"",$T32,IF($U32&lt;&gt;"",$U32,IF($V32&lt;&gt;"",$V32,"")))))</f>
        <v/>
      </c>
      <c r="R32" s="15" t="str">
        <f t="shared" ref="R32:R39" si="11">IF($B32="",IF(OR($D32&lt;&gt;"",$E32&lt;&gt;""),"← Eilutėje nėra žaidėjo (1 partija)",""),IF($D32="",IF($E32&lt;&gt;"","← Neįvesta pora ties rezultatu (1 partija)",""),IF(COUNTIF($D$32:$D$39,$D32)&gt;2,"← Per daug žaidėjų poroje (1 partija)","")))</f>
        <v/>
      </c>
      <c r="S32" s="15" t="str">
        <f t="shared" ref="S32:S39" si="12">IF($B32="",IF(OR($F32&lt;&gt;"",$G32&lt;&gt;""),"← Eilutėje nėra žaidėjo (2 partija)",""),IF($F32="",IF($G32&lt;&gt;"","← Neįvesta pora ties rezultatu (2 partija)",""),IF(AND($D32&lt;&gt;"",$F32&lt;&gt;"",LEFT($F32,1)&lt;&gt;LEFT($D32,1)),"← NELEGALUS keitimas (2 partija)",IF(COUNTIF($F$32:$F$39,$F32)&gt;2,"← Per daug žaidėjų poroje (2 partija)",""))))</f>
        <v/>
      </c>
      <c r="T32" s="15" t="str">
        <f t="shared" ref="T32:T39" si="13">IF($B32="",IF(OR($H32&lt;&gt;"",$I32&lt;&gt;""),"← Eilutėje nėra žaidėjo (3 partija)",""),IF($H32="",IF($I32&lt;&gt;"","← Neįvesta pora ties rezultatu (3 partija)",""),IF(AND($F32&lt;&gt;"",$H32&lt;&gt;"",LEFT($H32,1)&lt;&gt;LEFT($F32,1)),"← NELEGALUS keitimas (3 partija)",IF(COUNTIF($H$32:$H$39,$H32)&gt;2,"← Per daug žaidėjų poroje (3 partija)",""))))</f>
        <v/>
      </c>
      <c r="U32" s="15" t="str">
        <f t="shared" ref="U32:U39" si="14">IF($B32="",IF(OR($J32&lt;&gt;"",$K32&lt;&gt;""),"← Eilutėje nėra žaidėjo (4 partija)",""),IF($J32="",IF($K32&lt;&gt;"","← Neįvesta pora ties rezultatu (4 partija)",""),IF(COUNTIF($J$32:$J$39,$J32)&gt;2,"← Per daug žaidėjų poroje (4 partija)","")))</f>
        <v/>
      </c>
      <c r="V32" s="15" t="str">
        <f t="shared" ref="V32:V39" si="15">IF($B32="",IF(OR($L32&lt;&gt;"",$M32&lt;&gt;""),"← Eilutėje nėra žaidėjo (5 partija)",""),IF($L32="",IF($M32&lt;&gt;"","← Neįvesta pora ties rezultatu (5 partija)",""),IF(AND($J32&lt;&gt;"",$L32&lt;&gt;"",LEFT($L32,1)&lt;&gt;LEFT($J32,1)),"← NELEGALUS keitimas (5 partija)",IF(COUNTIF($L$32:$L$39,$L32)&gt;2,"← Per daug žaidėjų poroje (5 partija)",""))))</f>
        <v/>
      </c>
    </row>
    <row r="33" spans="1:22" ht="15" customHeight="1" x14ac:dyDescent="0.3">
      <c r="A33" s="199"/>
      <c r="B33" s="16" t="str">
        <f>IF(NOT(ProtokolasUzpildytas),"",IF(Protokolas!$B$36="","",Protokolas!$B$36))</f>
        <v/>
      </c>
      <c r="C33" s="17" t="str">
        <f>IF(NOT(ProtokolasUzpildytas),"",IF(Protokolas!$C$36="","",Protokolas!$C$36))</f>
        <v/>
      </c>
      <c r="D33" s="10"/>
      <c r="E33" s="11"/>
      <c r="F33" s="10"/>
      <c r="G33" s="11"/>
      <c r="H33" s="10"/>
      <c r="I33" s="11"/>
      <c r="J33" s="10"/>
      <c r="K33" s="11"/>
      <c r="L33" s="10"/>
      <c r="M33" s="11"/>
      <c r="N33" s="12" t="str">
        <f t="shared" si="8"/>
        <v/>
      </c>
      <c r="O33" s="13" t="str">
        <f t="shared" si="9"/>
        <v/>
      </c>
      <c r="P33" s="4"/>
      <c r="Q33" s="14" t="str">
        <f t="shared" si="10"/>
        <v/>
      </c>
      <c r="R33" s="15" t="str">
        <f t="shared" si="11"/>
        <v/>
      </c>
      <c r="S33" s="15" t="str">
        <f t="shared" si="12"/>
        <v/>
      </c>
      <c r="T33" s="15" t="str">
        <f t="shared" si="13"/>
        <v/>
      </c>
      <c r="U33" s="15" t="str">
        <f t="shared" si="14"/>
        <v/>
      </c>
      <c r="V33" s="15" t="str">
        <f t="shared" si="15"/>
        <v/>
      </c>
    </row>
    <row r="34" spans="1:22" ht="15" customHeight="1" x14ac:dyDescent="0.3">
      <c r="A34" s="199"/>
      <c r="B34" s="8" t="str">
        <f>IF(NOT(ProtokolasUzpildytas),"",IF(Protokolas!$B$37="","",Protokolas!$B$37))</f>
        <v/>
      </c>
      <c r="C34" s="9" t="str">
        <f>IF(NOT(ProtokolasUzpildytas),"",IF(Protokolas!$C$37="","",Protokolas!$C$37))</f>
        <v/>
      </c>
      <c r="D34" s="10"/>
      <c r="E34" s="11"/>
      <c r="F34" s="10"/>
      <c r="G34" s="11"/>
      <c r="H34" s="10"/>
      <c r="I34" s="11"/>
      <c r="J34" s="10"/>
      <c r="K34" s="11"/>
      <c r="L34" s="10"/>
      <c r="M34" s="11"/>
      <c r="N34" s="12" t="str">
        <f t="shared" si="8"/>
        <v/>
      </c>
      <c r="O34" s="13" t="str">
        <f t="shared" si="9"/>
        <v/>
      </c>
      <c r="P34" s="4"/>
      <c r="Q34" s="14" t="str">
        <f t="shared" si="10"/>
        <v/>
      </c>
      <c r="R34" s="15" t="str">
        <f t="shared" si="11"/>
        <v/>
      </c>
      <c r="S34" s="15" t="str">
        <f t="shared" si="12"/>
        <v/>
      </c>
      <c r="T34" s="15" t="str">
        <f t="shared" si="13"/>
        <v/>
      </c>
      <c r="U34" s="15" t="str">
        <f t="shared" si="14"/>
        <v/>
      </c>
      <c r="V34" s="15" t="str">
        <f t="shared" si="15"/>
        <v/>
      </c>
    </row>
    <row r="35" spans="1:22" ht="15" customHeight="1" x14ac:dyDescent="0.3">
      <c r="A35" s="199"/>
      <c r="B35" s="16" t="str">
        <f>IF(NOT(ProtokolasUzpildytas),"",IF(Protokolas!$B$38="","",Protokolas!$B$38))</f>
        <v/>
      </c>
      <c r="C35" s="17" t="str">
        <f>IF(NOT(ProtokolasUzpildytas),"",IF(Protokolas!$C$38="","",Protokolas!$C$38))</f>
        <v/>
      </c>
      <c r="D35" s="10"/>
      <c r="E35" s="11"/>
      <c r="F35" s="10"/>
      <c r="G35" s="11"/>
      <c r="H35" s="10"/>
      <c r="I35" s="11"/>
      <c r="J35" s="10"/>
      <c r="K35" s="11"/>
      <c r="L35" s="10"/>
      <c r="M35" s="11"/>
      <c r="N35" s="12" t="str">
        <f t="shared" si="8"/>
        <v/>
      </c>
      <c r="O35" s="13" t="str">
        <f t="shared" si="9"/>
        <v/>
      </c>
      <c r="P35" s="4"/>
      <c r="Q35" s="14" t="str">
        <f t="shared" si="10"/>
        <v/>
      </c>
      <c r="R35" s="15" t="str">
        <f t="shared" si="11"/>
        <v/>
      </c>
      <c r="S35" s="15" t="str">
        <f t="shared" si="12"/>
        <v/>
      </c>
      <c r="T35" s="15" t="str">
        <f t="shared" si="13"/>
        <v/>
      </c>
      <c r="U35" s="15" t="str">
        <f t="shared" si="14"/>
        <v/>
      </c>
      <c r="V35" s="15" t="str">
        <f t="shared" si="15"/>
        <v/>
      </c>
    </row>
    <row r="36" spans="1:22" ht="15" customHeight="1" x14ac:dyDescent="0.3">
      <c r="A36" s="199"/>
      <c r="B36" s="8" t="str">
        <f>IF(NOT(ProtokolasUzpildytas),"",IF(Protokolas!$B$39="","",Protokolas!$B$39))</f>
        <v/>
      </c>
      <c r="C36" s="9" t="str">
        <f>IF(NOT(ProtokolasUzpildytas),"",IF(Protokolas!$C$39="","",Protokolas!$C$39))</f>
        <v/>
      </c>
      <c r="D36" s="10"/>
      <c r="E36" s="11"/>
      <c r="F36" s="10"/>
      <c r="G36" s="11"/>
      <c r="H36" s="10"/>
      <c r="I36" s="11"/>
      <c r="J36" s="10"/>
      <c r="K36" s="11"/>
      <c r="L36" s="10"/>
      <c r="M36" s="11"/>
      <c r="N36" s="12" t="str">
        <f t="shared" si="8"/>
        <v/>
      </c>
      <c r="O36" s="13" t="str">
        <f t="shared" si="9"/>
        <v/>
      </c>
      <c r="P36" s="4"/>
      <c r="Q36" s="14" t="str">
        <f t="shared" si="10"/>
        <v/>
      </c>
      <c r="R36" s="15" t="str">
        <f t="shared" si="11"/>
        <v/>
      </c>
      <c r="S36" s="15" t="str">
        <f t="shared" si="12"/>
        <v/>
      </c>
      <c r="T36" s="15" t="str">
        <f t="shared" si="13"/>
        <v/>
      </c>
      <c r="U36" s="15" t="str">
        <f t="shared" si="14"/>
        <v/>
      </c>
      <c r="V36" s="15" t="str">
        <f t="shared" si="15"/>
        <v/>
      </c>
    </row>
    <row r="37" spans="1:22" ht="15" customHeight="1" x14ac:dyDescent="0.3">
      <c r="A37" s="199"/>
      <c r="B37" s="16" t="str">
        <f>IF(NOT(ProtokolasUzpildytas),"",IF(Protokolas!$B$40="","",Protokolas!$B$40))</f>
        <v/>
      </c>
      <c r="C37" s="17" t="str">
        <f>IF(NOT(ProtokolasUzpildytas),"",IF(Protokolas!$C$40="","",Protokolas!$C$40))</f>
        <v/>
      </c>
      <c r="D37" s="10"/>
      <c r="E37" s="11"/>
      <c r="F37" s="10"/>
      <c r="G37" s="11"/>
      <c r="H37" s="10"/>
      <c r="I37" s="11"/>
      <c r="J37" s="10"/>
      <c r="K37" s="11"/>
      <c r="L37" s="10"/>
      <c r="M37" s="11"/>
      <c r="N37" s="12" t="str">
        <f t="shared" si="8"/>
        <v/>
      </c>
      <c r="O37" s="13" t="str">
        <f t="shared" si="9"/>
        <v/>
      </c>
      <c r="P37" s="4"/>
      <c r="Q37" s="14" t="str">
        <f t="shared" si="10"/>
        <v/>
      </c>
      <c r="R37" s="15" t="str">
        <f t="shared" si="11"/>
        <v/>
      </c>
      <c r="S37" s="15" t="str">
        <f t="shared" si="12"/>
        <v/>
      </c>
      <c r="T37" s="15" t="str">
        <f t="shared" si="13"/>
        <v/>
      </c>
      <c r="U37" s="15" t="str">
        <f t="shared" si="14"/>
        <v/>
      </c>
      <c r="V37" s="15" t="str">
        <f t="shared" si="15"/>
        <v/>
      </c>
    </row>
    <row r="38" spans="1:22" ht="15" customHeight="1" x14ac:dyDescent="0.3">
      <c r="A38" s="199"/>
      <c r="B38" s="8" t="str">
        <f>IF(NOT(ProtokolasUzpildytas),"",IF(Protokolas!$B$41="","",Protokolas!$B$41))</f>
        <v/>
      </c>
      <c r="C38" s="9" t="str">
        <f>IF(NOT(ProtokolasUzpildytas),"",IF(Protokolas!$C$41="","",Protokolas!$C$41))</f>
        <v/>
      </c>
      <c r="D38" s="10"/>
      <c r="E38" s="11"/>
      <c r="F38" s="10"/>
      <c r="G38" s="11"/>
      <c r="H38" s="10"/>
      <c r="I38" s="11"/>
      <c r="J38" s="10"/>
      <c r="K38" s="11"/>
      <c r="L38" s="10"/>
      <c r="M38" s="11"/>
      <c r="N38" s="12" t="str">
        <f t="shared" si="8"/>
        <v/>
      </c>
      <c r="O38" s="13" t="str">
        <f t="shared" si="9"/>
        <v/>
      </c>
      <c r="P38" s="4"/>
      <c r="Q38" s="14" t="str">
        <f t="shared" si="10"/>
        <v/>
      </c>
      <c r="R38" s="15" t="str">
        <f t="shared" si="11"/>
        <v/>
      </c>
      <c r="S38" s="15" t="str">
        <f t="shared" si="12"/>
        <v/>
      </c>
      <c r="T38" s="15" t="str">
        <f t="shared" si="13"/>
        <v/>
      </c>
      <c r="U38" s="15" t="str">
        <f t="shared" si="14"/>
        <v/>
      </c>
      <c r="V38" s="15" t="str">
        <f t="shared" si="15"/>
        <v/>
      </c>
    </row>
    <row r="39" spans="1:22" ht="15" customHeight="1" x14ac:dyDescent="0.3">
      <c r="A39" s="199"/>
      <c r="B39" s="16" t="str">
        <f>IF(NOT(ProtokolasUzpildytas),"",IF(Protokolas!$B$42="","",Protokolas!$B$42))</f>
        <v/>
      </c>
      <c r="C39" s="17" t="str">
        <f>IF(NOT(ProtokolasUzpildytas),"",IF(Protokolas!$C$42="","",Protokolas!$C$42))</f>
        <v/>
      </c>
      <c r="D39" s="10"/>
      <c r="E39" s="11"/>
      <c r="F39" s="10"/>
      <c r="G39" s="11"/>
      <c r="H39" s="10"/>
      <c r="I39" s="11"/>
      <c r="J39" s="10"/>
      <c r="K39" s="11"/>
      <c r="L39" s="10"/>
      <c r="M39" s="11"/>
      <c r="N39" s="18" t="str">
        <f t="shared" si="8"/>
        <v/>
      </c>
      <c r="O39" s="19" t="str">
        <f t="shared" si="9"/>
        <v/>
      </c>
      <c r="P39" s="4"/>
      <c r="Q39" s="14" t="str">
        <f t="shared" si="10"/>
        <v/>
      </c>
      <c r="R39" s="15" t="str">
        <f t="shared" si="11"/>
        <v/>
      </c>
      <c r="S39" s="15" t="str">
        <f t="shared" si="12"/>
        <v/>
      </c>
      <c r="T39" s="15" t="str">
        <f t="shared" si="13"/>
        <v/>
      </c>
      <c r="U39" s="15" t="str">
        <f t="shared" si="14"/>
        <v/>
      </c>
      <c r="V39" s="15" t="str">
        <f t="shared" si="15"/>
        <v/>
      </c>
    </row>
    <row r="40" spans="1:22" ht="16.05" customHeight="1" x14ac:dyDescent="0.3">
      <c r="A40" s="199"/>
      <c r="B40" s="137" t="s">
        <v>25</v>
      </c>
      <c r="C40" s="138"/>
      <c r="D40" s="110">
        <f>SUMIFS($E$32:$E$39,$D$32:$D$39,"1*")+SUMIFS($C$32:$C$39,$D$32:$D$39,"1*",$E$32:$E$39,"&gt;0")</f>
        <v>0</v>
      </c>
      <c r="E40" s="111"/>
      <c r="F40" s="166">
        <f>SUMIFS($G$32:$G$39,$F$32:$F$39,"1*")+SUMIFS($C$32:$C$39,$F$32:$F$39,"1*",$G$32:$G$39,"&gt;0")</f>
        <v>0</v>
      </c>
      <c r="G40" s="181"/>
      <c r="H40" s="110">
        <f>SUMIFS($I$32:$I$39,$H$32:$H$39,"1*")+SUMIFS($C$32:$C$39,$H$32:$H$39,"1*",$I$32:$I$39,"&gt;0")</f>
        <v>0</v>
      </c>
      <c r="I40" s="111"/>
      <c r="J40" s="110">
        <f>SUMIFS($K$32:$K$39,$J$32:$J$39,"1*")+SUMIFS($C$32:$C$39,$J$32:$J$39,"1*",$K$32:$K$39,"&gt;0")</f>
        <v>0</v>
      </c>
      <c r="K40" s="111"/>
      <c r="L40" s="166">
        <f>SUMIFS($M$32:$M$39,$L$32:$L$39,"1*")+SUMIFS($C$32:$C$39,$L$32:$L$39,"1*",$M$32:$M$39,"&gt;0")</f>
        <v>0</v>
      </c>
      <c r="M40" s="167"/>
      <c r="N40" s="179">
        <f>SUM($D$42:$M$42)</f>
        <v>0</v>
      </c>
      <c r="O40" s="151" t="str">
        <f>IF(COUNT($E$32:$E$39,$G$32:$G$39,$I$32:$I$39,$K$32:$K$39,$M$32:$M$39)=0,"",AVERAGE($E$32:$E$39,$G$32:$G$39,$I$32:$I$39,$K$32:$K$39,$M$32:$M$39))</f>
        <v/>
      </c>
      <c r="P40" s="4"/>
    </row>
    <row r="41" spans="1:22" ht="16.05" customHeight="1" x14ac:dyDescent="0.3">
      <c r="A41" s="199"/>
      <c r="B41" s="137" t="s">
        <v>26</v>
      </c>
      <c r="C41" s="138"/>
      <c r="D41" s="166">
        <f>SUMIFS($E$32:$E$39,$D$32:$D$39,"2*")+SUMIFS($C$32:$C$39,$D$32:$D$39,"2*",$E$32:$E$39,"&gt;0")</f>
        <v>0</v>
      </c>
      <c r="E41" s="181"/>
      <c r="F41" s="110">
        <f>SUMIFS($G$32:$G$39,$F$32:$F$39,"2*")+SUMIFS($C$32:$C$39,$F$32:$F$39,"2*",$G$32:$G$39,"&gt;0")</f>
        <v>0</v>
      </c>
      <c r="G41" s="111"/>
      <c r="H41" s="166">
        <f>SUMIFS($I$32:$I$39,$H$32:$H$39,"2*")+SUMIFS($C$32:$C$39,$H$32:$H$39,"2*",$I$32:$I$39,"&gt;0")</f>
        <v>0</v>
      </c>
      <c r="I41" s="181"/>
      <c r="J41" s="166">
        <f>SUMIFS($K$32:$K$39,$J$32:$J$39,"2*")+SUMIFS($C$32:$C$39,$J$32:$J$39,"2*",$K$32:$K$39,"&gt;0")</f>
        <v>0</v>
      </c>
      <c r="K41" s="181"/>
      <c r="L41" s="110">
        <f>SUMIFS($M$32:$M$39,$L$32:$L$39,"2*")+SUMIFS($C$32:$C$39,$L$32:$L$39,"2*",$M$32:$M$39,"&gt;0")</f>
        <v>0</v>
      </c>
      <c r="M41" s="183"/>
      <c r="N41" s="180"/>
      <c r="O41" s="152"/>
      <c r="P41" s="4"/>
    </row>
    <row r="42" spans="1:22" ht="13.95" customHeight="1" x14ac:dyDescent="0.3">
      <c r="A42" s="199"/>
      <c r="B42" s="125" t="s">
        <v>27</v>
      </c>
      <c r="C42" s="126"/>
      <c r="D42" s="128">
        <f>SUM(D40:E41)</f>
        <v>0</v>
      </c>
      <c r="E42" s="129"/>
      <c r="F42" s="128">
        <f>SUM(F40:G41)</f>
        <v>0</v>
      </c>
      <c r="G42" s="129"/>
      <c r="H42" s="128">
        <f>SUM(H40:I41)</f>
        <v>0</v>
      </c>
      <c r="I42" s="129"/>
      <c r="J42" s="128">
        <f>SUM(J40:K41)</f>
        <v>0</v>
      </c>
      <c r="K42" s="129"/>
      <c r="L42" s="128">
        <f>SUM(L40:M41)</f>
        <v>0</v>
      </c>
      <c r="M42" s="174"/>
      <c r="N42" s="20" t="s">
        <v>28</v>
      </c>
      <c r="O42" s="21" t="str">
        <f>IF(COUNT($E$32:$E$39,$G$32:$G$39,$I$32:$I$39,$K$32:$K$39,$M$32:$M$39)=0,"",$N$40/COUNT($E$32:$E$39,$G$32:$G$39,$I$32:$I$39,$K$32:$K$39,$M$32:$M$39))</f>
        <v/>
      </c>
      <c r="P42" s="4"/>
    </row>
    <row r="43" spans="1:22" ht="16.05" customHeight="1" x14ac:dyDescent="0.3">
      <c r="A43" s="199"/>
      <c r="B43" s="140" t="s">
        <v>29</v>
      </c>
      <c r="C43" s="138"/>
      <c r="D43" s="153">
        <f>D42-D22</f>
        <v>0</v>
      </c>
      <c r="E43" s="154"/>
      <c r="F43" s="153">
        <f>F42-F22</f>
        <v>0</v>
      </c>
      <c r="G43" s="154"/>
      <c r="H43" s="153">
        <f>H42-H22</f>
        <v>0</v>
      </c>
      <c r="I43" s="154"/>
      <c r="J43" s="153">
        <f>J42-J22</f>
        <v>0</v>
      </c>
      <c r="K43" s="154"/>
      <c r="L43" s="153">
        <f>L42-L22</f>
        <v>0</v>
      </c>
      <c r="M43" s="154"/>
      <c r="N43" s="159">
        <f>$N$40-$N$20</f>
        <v>0</v>
      </c>
      <c r="O43" s="160"/>
      <c r="P43" s="4"/>
    </row>
    <row r="44" spans="1:22" ht="6" hidden="1" customHeight="1" x14ac:dyDescent="0.3">
      <c r="A44" s="199"/>
      <c r="B44" s="182" t="s">
        <v>30</v>
      </c>
      <c r="C44" s="133"/>
      <c r="D44" s="123">
        <f>IF(D40=0,0,IF(D40&gt;D20,2,IF(D40=D20,1,0)))</f>
        <v>0</v>
      </c>
      <c r="E44" s="124"/>
      <c r="F44" s="123">
        <f>IF(F40=0,0,IF(F40&gt;F21,2,IF(F40=F21,1,0)))</f>
        <v>0</v>
      </c>
      <c r="G44" s="124"/>
      <c r="H44" s="123">
        <f>IF(H40=0,0,IF(H40&gt;H20,2,IF(H40=H20,1,0)))</f>
        <v>0</v>
      </c>
      <c r="I44" s="124"/>
      <c r="J44" s="123">
        <f>IF(J40=0,0,IF(J40&gt;J20,2,IF(J40=J20,1,0)))</f>
        <v>0</v>
      </c>
      <c r="K44" s="124"/>
      <c r="L44" s="123">
        <f>IF(L40=0,0,IF(L40&gt;L21,2,IF(L40=L21,1,0)))</f>
        <v>0</v>
      </c>
      <c r="M44" s="124"/>
      <c r="N44" s="116"/>
      <c r="O44" s="141">
        <f>SUM($D$47:$N$47)</f>
        <v>0</v>
      </c>
      <c r="P44" s="4"/>
    </row>
    <row r="45" spans="1:22" ht="6" hidden="1" customHeight="1" x14ac:dyDescent="0.3">
      <c r="A45" s="199"/>
      <c r="B45" s="182" t="s">
        <v>31</v>
      </c>
      <c r="C45" s="133"/>
      <c r="D45" s="123">
        <f>IF(D41=0,0,IF(D41&gt;D21,2,IF(D41=D21,1,0)))</f>
        <v>0</v>
      </c>
      <c r="E45" s="124"/>
      <c r="F45" s="123">
        <f>IF(F41=0,0,IF(F41&gt;F20,2,IF(F41=F20,1,0)))</f>
        <v>0</v>
      </c>
      <c r="G45" s="124"/>
      <c r="H45" s="123">
        <f>IF(H41=0,0,IF(H41&gt;H21,2,IF(H41=H21,1,0)))</f>
        <v>0</v>
      </c>
      <c r="I45" s="124"/>
      <c r="J45" s="123">
        <f>IF(J41=0,0,IF(J41&gt;J21,2,IF(J41=J21,1,0)))</f>
        <v>0</v>
      </c>
      <c r="K45" s="124"/>
      <c r="L45" s="123">
        <f>IF(L41=0,0,IF(L41&gt;L20,2,IF(L41=L20,1,0)))</f>
        <v>0</v>
      </c>
      <c r="M45" s="124"/>
      <c r="N45" s="117"/>
      <c r="O45" s="142"/>
      <c r="P45" s="4"/>
    </row>
    <row r="46" spans="1:22" ht="6" hidden="1" customHeight="1" x14ac:dyDescent="0.3">
      <c r="A46" s="199"/>
      <c r="B46" s="182" t="s">
        <v>32</v>
      </c>
      <c r="C46" s="133"/>
      <c r="D46" s="123">
        <f>IF(D42=0,0,IF(D42&gt;D22,2,IF(D42=D22,1,0)))</f>
        <v>0</v>
      </c>
      <c r="E46" s="124"/>
      <c r="F46" s="123">
        <f>IF(F42=0,0,IF(F42&gt;F22,2,IF(F42=F22,1,0)))</f>
        <v>0</v>
      </c>
      <c r="G46" s="124"/>
      <c r="H46" s="123">
        <f>IF(H42=0,0,IF(H42&gt;H22,2,IF(H42=H22,1,0)))</f>
        <v>0</v>
      </c>
      <c r="I46" s="124"/>
      <c r="J46" s="123">
        <f>IF(J42=0,0,IF(J42&gt;J22,2,IF(J42=J22,1,0)))</f>
        <v>0</v>
      </c>
      <c r="K46" s="124"/>
      <c r="L46" s="123">
        <f>IF(L42=0,0,IF(L42&gt;L22,2,IF(L42=L22,1,0)))</f>
        <v>0</v>
      </c>
      <c r="M46" s="124"/>
      <c r="N46" s="118"/>
      <c r="O46" s="142"/>
      <c r="P46" s="4"/>
    </row>
    <row r="47" spans="1:22" ht="24" customHeight="1" x14ac:dyDescent="0.3">
      <c r="A47" s="200"/>
      <c r="B47" s="192" t="s">
        <v>33</v>
      </c>
      <c r="C47" s="193"/>
      <c r="D47" s="161">
        <f>SUM(D44:E46)</f>
        <v>0</v>
      </c>
      <c r="E47" s="162"/>
      <c r="F47" s="161">
        <f>SUM(F44:G46)</f>
        <v>0</v>
      </c>
      <c r="G47" s="162"/>
      <c r="H47" s="161">
        <f>SUM(H44:I46)</f>
        <v>0</v>
      </c>
      <c r="I47" s="162"/>
      <c r="J47" s="161">
        <f>SUM(J44:K46)</f>
        <v>0</v>
      </c>
      <c r="K47" s="162"/>
      <c r="L47" s="161">
        <f>SUM(L44:M46)</f>
        <v>0</v>
      </c>
      <c r="M47" s="162"/>
      <c r="N47" s="22">
        <f>IF(SUM($D$27:$M$27)+SUM($D$47:$M$47)&lt;30,0,IF($N$40&gt;$N$20,6,IF($N$40=$N$20,3,0)))</f>
        <v>0</v>
      </c>
      <c r="O47" s="143"/>
      <c r="P47" s="4"/>
    </row>
    <row r="48" spans="1:22" ht="7.95" customHeight="1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61" spans="3:15" ht="13.95" customHeight="1" x14ac:dyDescent="0.3"/>
    <row r="62" spans="3:15" ht="24" customHeight="1" x14ac:dyDescent="0.3">
      <c r="C62" s="186" t="str">
        <f>Protokolas!$A$7</f>
        <v>← Pasirinkite lygą</v>
      </c>
      <c r="D62" s="187"/>
      <c r="E62" s="187"/>
      <c r="F62" s="187"/>
      <c r="G62" s="187"/>
      <c r="H62" s="187"/>
      <c r="I62" s="187"/>
      <c r="J62" s="187"/>
      <c r="K62" s="188"/>
      <c r="L62" s="206" t="str">
        <f>IF(Lyga="","LYGA?",Lyga&amp;" LYGA")</f>
        <v>LYGA?</v>
      </c>
      <c r="M62" s="207"/>
      <c r="N62" s="207"/>
      <c r="O62" s="208"/>
    </row>
    <row r="63" spans="3:15" ht="13.95" customHeight="1" x14ac:dyDescent="0.3">
      <c r="C63" s="189"/>
      <c r="D63" s="190"/>
      <c r="E63" s="190"/>
      <c r="F63" s="190"/>
      <c r="G63" s="190"/>
      <c r="H63" s="190"/>
      <c r="I63" s="190"/>
      <c r="J63" s="190"/>
      <c r="K63" s="191"/>
      <c r="L63" s="209" t="str">
        <f>IF(NOT(ISNUMBER(Protokolas!$D$9)),"",IF(MONTH(Protokolas!$D$9)&gt;=9,YEAR(Protokolas!$D$9)&amp;"/"&amp;(YEAR(Protokolas!$D$9)+1),(YEAR(Protokolas!$D$9)-1)&amp;"/"&amp;YEAR(Protokolas!$D$9))&amp;" m. sezonas")</f>
        <v/>
      </c>
      <c r="M63" s="207"/>
      <c r="N63" s="207"/>
      <c r="O63" s="208"/>
    </row>
    <row r="64" spans="3:15" ht="4.05" customHeight="1" x14ac:dyDescent="0.3"/>
    <row r="65" spans="1:16" ht="16.05" customHeight="1" x14ac:dyDescent="0.3">
      <c r="A65" s="202" t="s">
        <v>0</v>
      </c>
      <c r="B65" s="150"/>
      <c r="C65" s="145" t="str">
        <f>IF(Protokolas!$D$11="","",Protokolas!$D$11)</f>
        <v/>
      </c>
      <c r="D65" s="146"/>
      <c r="E65" s="146"/>
      <c r="F65" s="146"/>
      <c r="G65" s="146"/>
      <c r="H65" s="2" t="s">
        <v>1</v>
      </c>
      <c r="I65" s="195" t="str">
        <f>IF(Protokolas!$D$9="","",Protokolas!$D$9)</f>
        <v/>
      </c>
      <c r="J65" s="196"/>
      <c r="K65" s="2" t="s">
        <v>2</v>
      </c>
      <c r="L65" s="145" t="str">
        <f>IF(Protokolas!$D$13="","",Protokolas!$D$13)</f>
        <v/>
      </c>
      <c r="M65" s="146"/>
      <c r="N65" s="146"/>
      <c r="O65" s="146"/>
    </row>
    <row r="66" spans="1:16" ht="4.05" customHeight="1" x14ac:dyDescent="0.3"/>
    <row r="67" spans="1:16" ht="16.95" customHeight="1" x14ac:dyDescent="0.3">
      <c r="B67" s="149" t="s">
        <v>3</v>
      </c>
      <c r="C67" s="150"/>
      <c r="D67" s="184" t="str">
        <f>IF(Protokolas!$A$19="","",Protokolas!$A$19)</f>
        <v/>
      </c>
      <c r="E67" s="185"/>
      <c r="F67" s="185"/>
      <c r="G67" s="185"/>
      <c r="H67" s="138"/>
      <c r="I67" s="2" t="s">
        <v>14</v>
      </c>
      <c r="J67" s="147">
        <f>$N$20</f>
        <v>0</v>
      </c>
      <c r="K67" s="148"/>
      <c r="L67" s="2" t="s">
        <v>4</v>
      </c>
      <c r="M67" s="168">
        <f>SUM($D$27:$N$27)</f>
        <v>0</v>
      </c>
      <c r="N67" s="169"/>
      <c r="O67" s="170"/>
    </row>
    <row r="68" spans="1:16" ht="16.95" customHeight="1" x14ac:dyDescent="0.3">
      <c r="B68" s="149" t="s">
        <v>5</v>
      </c>
      <c r="C68" s="150"/>
      <c r="D68" s="184" t="str">
        <f>IF(Protokolas!$A$32="","",Protokolas!$A$32)</f>
        <v/>
      </c>
      <c r="E68" s="185"/>
      <c r="F68" s="185"/>
      <c r="G68" s="185"/>
      <c r="H68" s="138"/>
      <c r="I68" s="2" t="s">
        <v>14</v>
      </c>
      <c r="J68" s="147">
        <f>$N$40</f>
        <v>0</v>
      </c>
      <c r="K68" s="148"/>
      <c r="L68" s="2" t="s">
        <v>4</v>
      </c>
      <c r="M68" s="168">
        <f>SUM($D$47:$N$47)</f>
        <v>0</v>
      </c>
      <c r="N68" s="169"/>
      <c r="O68" s="170"/>
    </row>
    <row r="69" spans="1:16" ht="6" customHeight="1" x14ac:dyDescent="0.3"/>
    <row r="70" spans="1:16" ht="16.05" customHeight="1" x14ac:dyDescent="0.3">
      <c r="A70" s="201"/>
      <c r="B70" s="175" t="s">
        <v>35</v>
      </c>
      <c r="C70" s="176"/>
      <c r="D70" s="175" t="s">
        <v>36</v>
      </c>
      <c r="E70" s="176"/>
      <c r="F70" s="119" t="s">
        <v>33</v>
      </c>
      <c r="G70" s="171"/>
      <c r="H70" s="171"/>
      <c r="I70" s="171"/>
      <c r="J70" s="171"/>
      <c r="K70" s="171"/>
      <c r="L70" s="171"/>
      <c r="M70" s="120"/>
      <c r="N70" s="112" t="s">
        <v>37</v>
      </c>
      <c r="O70" s="112" t="s">
        <v>38</v>
      </c>
    </row>
    <row r="71" spans="1:16" ht="16.05" customHeight="1" x14ac:dyDescent="0.3">
      <c r="A71" s="113"/>
      <c r="B71" s="177"/>
      <c r="C71" s="178"/>
      <c r="D71" s="177"/>
      <c r="E71" s="178"/>
      <c r="F71" s="139" t="s">
        <v>39</v>
      </c>
      <c r="G71" s="120"/>
      <c r="H71" s="139" t="s">
        <v>40</v>
      </c>
      <c r="I71" s="120"/>
      <c r="J71" s="139" t="s">
        <v>41</v>
      </c>
      <c r="K71" s="120"/>
      <c r="L71" s="139" t="s">
        <v>38</v>
      </c>
      <c r="M71" s="120"/>
      <c r="N71" s="113"/>
      <c r="O71" s="113"/>
    </row>
    <row r="72" spans="1:16" ht="6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6" ht="18" customHeight="1" x14ac:dyDescent="0.3">
      <c r="A73" s="121" t="s">
        <v>6</v>
      </c>
      <c r="B73" s="122"/>
      <c r="C73" s="163" t="str">
        <f>IF(Protokolas!$A$19="","",Protokolas!$A$19)</f>
        <v/>
      </c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5"/>
      <c r="P73" s="4"/>
    </row>
    <row r="74" spans="1:16" ht="19.95" customHeight="1" x14ac:dyDescent="0.3">
      <c r="A74" s="203"/>
      <c r="B74" s="132" t="str">
        <f t="shared" ref="B74:B81" si="16">$B12</f>
        <v/>
      </c>
      <c r="C74" s="133"/>
      <c r="D74" s="127" t="str">
        <f t="shared" ref="D74:D81" si="17">IF(OR($B74="",$N12=""),"",IF($E12&lt;&gt;"",1,0)+IF($G12&lt;&gt;"",1,0)+IF($I12&lt;&gt;"",1,0)+IF($K12&lt;&gt;"",1,0)+IF($M12&lt;&gt;"",1,0))</f>
        <v/>
      </c>
      <c r="E74" s="124"/>
      <c r="F74" s="127" t="str">
        <f t="shared" ref="F74:F81" si="18">IF(OR($B74="",$N12=""),"",IF(LEFT($D12,1)="1",$D$24,0)+IF(LEFT($D12,1)="2",$D$25,0)+IF(LEFT($F12,1)="1",$F$24,0)+IF(LEFT($F12,1)="2",$F$25,0)+IF(LEFT($H12,1)="1",$H$24,0)+IF(LEFT($H12,1)="2",$H$25,0)+IF(LEFT($J12,1)="1",$J$24,0)+IF(LEFT($J12,1)="2",$J$25,0)+IF(LEFT($L12,1)="1",$L$24,0)+IF(LEFT($L12,1)="2",$L$25,0))</f>
        <v/>
      </c>
      <c r="G74" s="124"/>
      <c r="H74" s="127" t="str">
        <f t="shared" ref="H74:H81" si="19">IF(OR($B74="",$N12=""),"",IF($E12&lt;&gt;"",$D$26,0)+IF($G12&lt;&gt;"",$F$26,0)+IF($I12&lt;&gt;"",$H$26,0)+IF($K12&lt;&gt;"",$J$26,0)+IF($M12&lt;&gt;"",$L$26,0))</f>
        <v/>
      </c>
      <c r="I74" s="124"/>
      <c r="J74" s="136" t="str">
        <f t="shared" ref="J74:J81" si="20">IF(OR($B74="",$N12=""),"",$F74+$H74)</f>
        <v/>
      </c>
      <c r="K74" s="124"/>
      <c r="L74" s="157" t="str">
        <f t="shared" ref="L74:L81" si="21">IF(OR(OR($B74="",$N12=""),$D74=0),"",$J74/$D74)</f>
        <v/>
      </c>
      <c r="M74" s="158"/>
      <c r="N74" s="25" t="str">
        <f t="shared" ref="N74:N81" si="22">$N12</f>
        <v/>
      </c>
      <c r="O74" s="26" t="str">
        <f t="shared" ref="O74:O81" si="23">$O12</f>
        <v/>
      </c>
      <c r="P74" s="4"/>
    </row>
    <row r="75" spans="1:16" ht="19.95" customHeight="1" x14ac:dyDescent="0.3">
      <c r="A75" s="204"/>
      <c r="B75" s="144" t="str">
        <f t="shared" si="16"/>
        <v/>
      </c>
      <c r="C75" s="138"/>
      <c r="D75" s="134" t="str">
        <f t="shared" si="17"/>
        <v/>
      </c>
      <c r="E75" s="135"/>
      <c r="F75" s="134" t="str">
        <f t="shared" si="18"/>
        <v/>
      </c>
      <c r="G75" s="135"/>
      <c r="H75" s="134" t="str">
        <f t="shared" si="19"/>
        <v/>
      </c>
      <c r="I75" s="135"/>
      <c r="J75" s="194" t="str">
        <f t="shared" si="20"/>
        <v/>
      </c>
      <c r="K75" s="135"/>
      <c r="L75" s="130" t="str">
        <f t="shared" si="21"/>
        <v/>
      </c>
      <c r="M75" s="131"/>
      <c r="N75" s="25" t="str">
        <f t="shared" si="22"/>
        <v/>
      </c>
      <c r="O75" s="26" t="str">
        <f t="shared" si="23"/>
        <v/>
      </c>
      <c r="P75" s="4"/>
    </row>
    <row r="76" spans="1:16" ht="19.95" customHeight="1" x14ac:dyDescent="0.3">
      <c r="A76" s="204"/>
      <c r="B76" s="132" t="str">
        <f t="shared" si="16"/>
        <v/>
      </c>
      <c r="C76" s="133"/>
      <c r="D76" s="127" t="str">
        <f t="shared" si="17"/>
        <v/>
      </c>
      <c r="E76" s="124"/>
      <c r="F76" s="127" t="str">
        <f t="shared" si="18"/>
        <v/>
      </c>
      <c r="G76" s="124"/>
      <c r="H76" s="127" t="str">
        <f t="shared" si="19"/>
        <v/>
      </c>
      <c r="I76" s="124"/>
      <c r="J76" s="136" t="str">
        <f t="shared" si="20"/>
        <v/>
      </c>
      <c r="K76" s="124"/>
      <c r="L76" s="157" t="str">
        <f t="shared" si="21"/>
        <v/>
      </c>
      <c r="M76" s="158"/>
      <c r="N76" s="25" t="str">
        <f t="shared" si="22"/>
        <v/>
      </c>
      <c r="O76" s="26" t="str">
        <f t="shared" si="23"/>
        <v/>
      </c>
      <c r="P76" s="4"/>
    </row>
    <row r="77" spans="1:16" ht="19.95" customHeight="1" x14ac:dyDescent="0.3">
      <c r="A77" s="204"/>
      <c r="B77" s="144" t="str">
        <f t="shared" si="16"/>
        <v/>
      </c>
      <c r="C77" s="138"/>
      <c r="D77" s="134" t="str">
        <f t="shared" si="17"/>
        <v/>
      </c>
      <c r="E77" s="135"/>
      <c r="F77" s="134" t="str">
        <f t="shared" si="18"/>
        <v/>
      </c>
      <c r="G77" s="135"/>
      <c r="H77" s="134" t="str">
        <f t="shared" si="19"/>
        <v/>
      </c>
      <c r="I77" s="135"/>
      <c r="J77" s="194" t="str">
        <f t="shared" si="20"/>
        <v/>
      </c>
      <c r="K77" s="135"/>
      <c r="L77" s="130" t="str">
        <f t="shared" si="21"/>
        <v/>
      </c>
      <c r="M77" s="131"/>
      <c r="N77" s="25" t="str">
        <f t="shared" si="22"/>
        <v/>
      </c>
      <c r="O77" s="26" t="str">
        <f t="shared" si="23"/>
        <v/>
      </c>
      <c r="P77" s="4"/>
    </row>
    <row r="78" spans="1:16" ht="19.95" customHeight="1" x14ac:dyDescent="0.3">
      <c r="A78" s="204"/>
      <c r="B78" s="132" t="str">
        <f t="shared" si="16"/>
        <v/>
      </c>
      <c r="C78" s="133"/>
      <c r="D78" s="127" t="str">
        <f t="shared" si="17"/>
        <v/>
      </c>
      <c r="E78" s="124"/>
      <c r="F78" s="127" t="str">
        <f t="shared" si="18"/>
        <v/>
      </c>
      <c r="G78" s="124"/>
      <c r="H78" s="127" t="str">
        <f t="shared" si="19"/>
        <v/>
      </c>
      <c r="I78" s="124"/>
      <c r="J78" s="136" t="str">
        <f t="shared" si="20"/>
        <v/>
      </c>
      <c r="K78" s="124"/>
      <c r="L78" s="157" t="str">
        <f t="shared" si="21"/>
        <v/>
      </c>
      <c r="M78" s="158"/>
      <c r="N78" s="25" t="str">
        <f t="shared" si="22"/>
        <v/>
      </c>
      <c r="O78" s="26" t="str">
        <f t="shared" si="23"/>
        <v/>
      </c>
      <c r="P78" s="4"/>
    </row>
    <row r="79" spans="1:16" ht="19.95" customHeight="1" x14ac:dyDescent="0.3">
      <c r="A79" s="204"/>
      <c r="B79" s="144" t="str">
        <f t="shared" si="16"/>
        <v/>
      </c>
      <c r="C79" s="138"/>
      <c r="D79" s="134" t="str">
        <f t="shared" si="17"/>
        <v/>
      </c>
      <c r="E79" s="135"/>
      <c r="F79" s="134" t="str">
        <f t="shared" si="18"/>
        <v/>
      </c>
      <c r="G79" s="135"/>
      <c r="H79" s="134" t="str">
        <f t="shared" si="19"/>
        <v/>
      </c>
      <c r="I79" s="135"/>
      <c r="J79" s="194" t="str">
        <f t="shared" si="20"/>
        <v/>
      </c>
      <c r="K79" s="135"/>
      <c r="L79" s="130" t="str">
        <f t="shared" si="21"/>
        <v/>
      </c>
      <c r="M79" s="131"/>
      <c r="N79" s="25" t="str">
        <f t="shared" si="22"/>
        <v/>
      </c>
      <c r="O79" s="26" t="str">
        <f t="shared" si="23"/>
        <v/>
      </c>
      <c r="P79" s="4"/>
    </row>
    <row r="80" spans="1:16" ht="19.95" customHeight="1" x14ac:dyDescent="0.3">
      <c r="A80" s="204"/>
      <c r="B80" s="132" t="str">
        <f t="shared" si="16"/>
        <v/>
      </c>
      <c r="C80" s="133"/>
      <c r="D80" s="127" t="str">
        <f t="shared" si="17"/>
        <v/>
      </c>
      <c r="E80" s="124"/>
      <c r="F80" s="127" t="str">
        <f t="shared" si="18"/>
        <v/>
      </c>
      <c r="G80" s="124"/>
      <c r="H80" s="127" t="str">
        <f t="shared" si="19"/>
        <v/>
      </c>
      <c r="I80" s="124"/>
      <c r="J80" s="136" t="str">
        <f t="shared" si="20"/>
        <v/>
      </c>
      <c r="K80" s="124"/>
      <c r="L80" s="157" t="str">
        <f t="shared" si="21"/>
        <v/>
      </c>
      <c r="M80" s="158"/>
      <c r="N80" s="25" t="str">
        <f t="shared" si="22"/>
        <v/>
      </c>
      <c r="O80" s="26" t="str">
        <f t="shared" si="23"/>
        <v/>
      </c>
      <c r="P80" s="4"/>
    </row>
    <row r="81" spans="1:16" ht="19.95" customHeight="1" x14ac:dyDescent="0.3">
      <c r="A81" s="205"/>
      <c r="B81" s="108" t="str">
        <f t="shared" si="16"/>
        <v/>
      </c>
      <c r="C81" s="109"/>
      <c r="D81" s="155" t="str">
        <f t="shared" si="17"/>
        <v/>
      </c>
      <c r="E81" s="156"/>
      <c r="F81" s="155" t="str">
        <f t="shared" si="18"/>
        <v/>
      </c>
      <c r="G81" s="156"/>
      <c r="H81" s="155" t="str">
        <f t="shared" si="19"/>
        <v/>
      </c>
      <c r="I81" s="156"/>
      <c r="J81" s="197" t="str">
        <f t="shared" si="20"/>
        <v/>
      </c>
      <c r="K81" s="156"/>
      <c r="L81" s="114" t="str">
        <f t="shared" si="21"/>
        <v/>
      </c>
      <c r="M81" s="115"/>
      <c r="N81" s="27" t="str">
        <f t="shared" si="22"/>
        <v/>
      </c>
      <c r="O81" s="28" t="str">
        <f t="shared" si="23"/>
        <v/>
      </c>
      <c r="P81" s="4"/>
    </row>
    <row r="82" spans="1:16" ht="6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1:16" ht="18" customHeight="1" x14ac:dyDescent="0.3">
      <c r="A83" s="121" t="s">
        <v>34</v>
      </c>
      <c r="B83" s="122"/>
      <c r="C83" s="163" t="str">
        <f>IF(Protokolas!$A$32="","",Protokolas!$A$32)</f>
        <v/>
      </c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5"/>
      <c r="P83" s="4"/>
    </row>
    <row r="84" spans="1:16" ht="19.95" customHeight="1" x14ac:dyDescent="0.3">
      <c r="A84" s="198"/>
      <c r="B84" s="132" t="str">
        <f t="shared" ref="B84:B91" si="24">$B32</f>
        <v/>
      </c>
      <c r="C84" s="133"/>
      <c r="D84" s="127" t="str">
        <f t="shared" ref="D84:D91" si="25">IF(OR($B84="",$N32=""),"",IF($E32&lt;&gt;"",1,0)+IF($G32&lt;&gt;"",1,0)+IF($I32&lt;&gt;"",1,0)+IF($K32&lt;&gt;"",1,0)+IF($M32&lt;&gt;"",1,0))</f>
        <v/>
      </c>
      <c r="E84" s="124"/>
      <c r="F84" s="127" t="str">
        <f t="shared" ref="F84:F91" si="26">IF(OR($B84="",$N32=""),"",IF(LEFT($D32,1)="1",$D$44,0)+IF(LEFT($D32,1)="2",$D$45,0)+IF(LEFT($F32,1)="1",$F$44,0)+IF(LEFT($F32,1)="2",$F$45,0)+IF(LEFT($H32,1)="1",$H$44,0)+IF(LEFT($H32,1)="2",$H$45,0)+IF(LEFT($J32,1)="1",$J$44,0)+IF(LEFT($J32,1)="2",$J$45,0)+IF(LEFT($L32,1)="1",$L$44,0)+IF(LEFT($L32,1)="2",$L$45,0))</f>
        <v/>
      </c>
      <c r="G84" s="124"/>
      <c r="H84" s="127" t="str">
        <f t="shared" ref="H84:H91" si="27">IF(OR($B84="",$N32=""),"",IF($E32&lt;&gt;"",$D$46,0)+IF($G32&lt;&gt;"",$F$46,0)+IF($I32&lt;&gt;"",$H$46,0)+IF($K32&lt;&gt;"",$J$46,0)+IF($M32&lt;&gt;"",$L$46,0))</f>
        <v/>
      </c>
      <c r="I84" s="124"/>
      <c r="J84" s="136" t="str">
        <f t="shared" ref="J84:J91" si="28">IF(OR($B84="",$N32=""),"",$F84+$H84)</f>
        <v/>
      </c>
      <c r="K84" s="124"/>
      <c r="L84" s="157" t="str">
        <f t="shared" ref="L84:L91" si="29">IF(OR(OR($B84="",$N32=""),$D84=0),"",$J84/$D84)</f>
        <v/>
      </c>
      <c r="M84" s="158"/>
      <c r="N84" s="25" t="str">
        <f t="shared" ref="N84:N91" si="30">$N32</f>
        <v/>
      </c>
      <c r="O84" s="26" t="str">
        <f t="shared" ref="O84:O91" si="31">$O32</f>
        <v/>
      </c>
      <c r="P84" s="4"/>
    </row>
    <row r="85" spans="1:16" ht="19.95" customHeight="1" x14ac:dyDescent="0.3">
      <c r="A85" s="199"/>
      <c r="B85" s="144" t="str">
        <f t="shared" si="24"/>
        <v/>
      </c>
      <c r="C85" s="138"/>
      <c r="D85" s="134" t="str">
        <f t="shared" si="25"/>
        <v/>
      </c>
      <c r="E85" s="135"/>
      <c r="F85" s="134" t="str">
        <f t="shared" si="26"/>
        <v/>
      </c>
      <c r="G85" s="135"/>
      <c r="H85" s="134" t="str">
        <f t="shared" si="27"/>
        <v/>
      </c>
      <c r="I85" s="135"/>
      <c r="J85" s="194" t="str">
        <f t="shared" si="28"/>
        <v/>
      </c>
      <c r="K85" s="135"/>
      <c r="L85" s="130" t="str">
        <f t="shared" si="29"/>
        <v/>
      </c>
      <c r="M85" s="131"/>
      <c r="N85" s="25" t="str">
        <f t="shared" si="30"/>
        <v/>
      </c>
      <c r="O85" s="26" t="str">
        <f t="shared" si="31"/>
        <v/>
      </c>
      <c r="P85" s="4"/>
    </row>
    <row r="86" spans="1:16" ht="19.95" customHeight="1" x14ac:dyDescent="0.3">
      <c r="A86" s="199"/>
      <c r="B86" s="132" t="str">
        <f t="shared" si="24"/>
        <v/>
      </c>
      <c r="C86" s="133"/>
      <c r="D86" s="127" t="str">
        <f t="shared" si="25"/>
        <v/>
      </c>
      <c r="E86" s="124"/>
      <c r="F86" s="127" t="str">
        <f t="shared" si="26"/>
        <v/>
      </c>
      <c r="G86" s="124"/>
      <c r="H86" s="127" t="str">
        <f t="shared" si="27"/>
        <v/>
      </c>
      <c r="I86" s="124"/>
      <c r="J86" s="136" t="str">
        <f t="shared" si="28"/>
        <v/>
      </c>
      <c r="K86" s="124"/>
      <c r="L86" s="157" t="str">
        <f t="shared" si="29"/>
        <v/>
      </c>
      <c r="M86" s="158"/>
      <c r="N86" s="25" t="str">
        <f t="shared" si="30"/>
        <v/>
      </c>
      <c r="O86" s="26" t="str">
        <f t="shared" si="31"/>
        <v/>
      </c>
      <c r="P86" s="4"/>
    </row>
    <row r="87" spans="1:16" ht="19.95" customHeight="1" x14ac:dyDescent="0.3">
      <c r="A87" s="199"/>
      <c r="B87" s="144" t="str">
        <f t="shared" si="24"/>
        <v/>
      </c>
      <c r="C87" s="138"/>
      <c r="D87" s="134" t="str">
        <f t="shared" si="25"/>
        <v/>
      </c>
      <c r="E87" s="135"/>
      <c r="F87" s="134" t="str">
        <f t="shared" si="26"/>
        <v/>
      </c>
      <c r="G87" s="135"/>
      <c r="H87" s="134" t="str">
        <f t="shared" si="27"/>
        <v/>
      </c>
      <c r="I87" s="135"/>
      <c r="J87" s="194" t="str">
        <f t="shared" si="28"/>
        <v/>
      </c>
      <c r="K87" s="135"/>
      <c r="L87" s="130" t="str">
        <f t="shared" si="29"/>
        <v/>
      </c>
      <c r="M87" s="131"/>
      <c r="N87" s="25" t="str">
        <f t="shared" si="30"/>
        <v/>
      </c>
      <c r="O87" s="26" t="str">
        <f t="shared" si="31"/>
        <v/>
      </c>
      <c r="P87" s="4"/>
    </row>
    <row r="88" spans="1:16" ht="19.95" customHeight="1" x14ac:dyDescent="0.3">
      <c r="A88" s="199"/>
      <c r="B88" s="132" t="str">
        <f t="shared" si="24"/>
        <v/>
      </c>
      <c r="C88" s="133"/>
      <c r="D88" s="127" t="str">
        <f t="shared" si="25"/>
        <v/>
      </c>
      <c r="E88" s="124"/>
      <c r="F88" s="127" t="str">
        <f t="shared" si="26"/>
        <v/>
      </c>
      <c r="G88" s="124"/>
      <c r="H88" s="127" t="str">
        <f t="shared" si="27"/>
        <v/>
      </c>
      <c r="I88" s="124"/>
      <c r="J88" s="136" t="str">
        <f t="shared" si="28"/>
        <v/>
      </c>
      <c r="K88" s="124"/>
      <c r="L88" s="157" t="str">
        <f t="shared" si="29"/>
        <v/>
      </c>
      <c r="M88" s="158"/>
      <c r="N88" s="25" t="str">
        <f t="shared" si="30"/>
        <v/>
      </c>
      <c r="O88" s="26" t="str">
        <f t="shared" si="31"/>
        <v/>
      </c>
      <c r="P88" s="4"/>
    </row>
    <row r="89" spans="1:16" ht="19.95" customHeight="1" x14ac:dyDescent="0.3">
      <c r="A89" s="199"/>
      <c r="B89" s="144" t="str">
        <f t="shared" si="24"/>
        <v/>
      </c>
      <c r="C89" s="138"/>
      <c r="D89" s="134" t="str">
        <f t="shared" si="25"/>
        <v/>
      </c>
      <c r="E89" s="135"/>
      <c r="F89" s="134" t="str">
        <f t="shared" si="26"/>
        <v/>
      </c>
      <c r="G89" s="135"/>
      <c r="H89" s="134" t="str">
        <f t="shared" si="27"/>
        <v/>
      </c>
      <c r="I89" s="135"/>
      <c r="J89" s="194" t="str">
        <f t="shared" si="28"/>
        <v/>
      </c>
      <c r="K89" s="135"/>
      <c r="L89" s="130" t="str">
        <f t="shared" si="29"/>
        <v/>
      </c>
      <c r="M89" s="131"/>
      <c r="N89" s="25" t="str">
        <f t="shared" si="30"/>
        <v/>
      </c>
      <c r="O89" s="26" t="str">
        <f t="shared" si="31"/>
        <v/>
      </c>
      <c r="P89" s="4"/>
    </row>
    <row r="90" spans="1:16" ht="19.95" customHeight="1" x14ac:dyDescent="0.3">
      <c r="A90" s="199"/>
      <c r="B90" s="132" t="str">
        <f t="shared" si="24"/>
        <v/>
      </c>
      <c r="C90" s="133"/>
      <c r="D90" s="127" t="str">
        <f t="shared" si="25"/>
        <v/>
      </c>
      <c r="E90" s="124"/>
      <c r="F90" s="127" t="str">
        <f t="shared" si="26"/>
        <v/>
      </c>
      <c r="G90" s="124"/>
      <c r="H90" s="127" t="str">
        <f t="shared" si="27"/>
        <v/>
      </c>
      <c r="I90" s="124"/>
      <c r="J90" s="136" t="str">
        <f t="shared" si="28"/>
        <v/>
      </c>
      <c r="K90" s="124"/>
      <c r="L90" s="157" t="str">
        <f t="shared" si="29"/>
        <v/>
      </c>
      <c r="M90" s="158"/>
      <c r="N90" s="25" t="str">
        <f t="shared" si="30"/>
        <v/>
      </c>
      <c r="O90" s="26" t="str">
        <f t="shared" si="31"/>
        <v/>
      </c>
      <c r="P90" s="4"/>
    </row>
    <row r="91" spans="1:16" ht="19.95" customHeight="1" x14ac:dyDescent="0.3">
      <c r="A91" s="200"/>
      <c r="B91" s="108" t="str">
        <f t="shared" si="24"/>
        <v/>
      </c>
      <c r="C91" s="109"/>
      <c r="D91" s="155" t="str">
        <f t="shared" si="25"/>
        <v/>
      </c>
      <c r="E91" s="156"/>
      <c r="F91" s="155" t="str">
        <f t="shared" si="26"/>
        <v/>
      </c>
      <c r="G91" s="156"/>
      <c r="H91" s="155" t="str">
        <f t="shared" si="27"/>
        <v/>
      </c>
      <c r="I91" s="156"/>
      <c r="J91" s="197" t="str">
        <f t="shared" si="28"/>
        <v/>
      </c>
      <c r="K91" s="156"/>
      <c r="L91" s="114" t="str">
        <f t="shared" si="29"/>
        <v/>
      </c>
      <c r="M91" s="115"/>
      <c r="N91" s="27" t="str">
        <f t="shared" si="30"/>
        <v/>
      </c>
      <c r="O91" s="28" t="str">
        <f t="shared" si="31"/>
        <v/>
      </c>
      <c r="P91" s="4"/>
    </row>
    <row r="92" spans="1:16" x14ac:dyDescent="0.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</sheetData>
  <sheetProtection algorithmName="SHA-512" hashValue="zEVYXRo3f59OwRDJV9uE8QT35ZTdqYqmfkRg69ka8YZu+HXhBuFk62xWRmkzVpIECqTTm2YHWLyu8cKTgG3qGA==" saltValue="5/+xejDW1OJ2JcqSQ30G8A==" spinCount="100000" sheet="1" objects="1" scenarios="1" selectLockedCells="1"/>
  <mergeCells count="274">
    <mergeCell ref="L1:O1"/>
    <mergeCell ref="L63:O63"/>
    <mergeCell ref="A30:A31"/>
    <mergeCell ref="H26:I26"/>
    <mergeCell ref="I4:J4"/>
    <mergeCell ref="J43:K43"/>
    <mergeCell ref="A29:B29"/>
    <mergeCell ref="C9:O9"/>
    <mergeCell ref="D42:E42"/>
    <mergeCell ref="D6:J6"/>
    <mergeCell ref="B10:B11"/>
    <mergeCell ref="F41:G41"/>
    <mergeCell ref="L2:O2"/>
    <mergeCell ref="J27:K27"/>
    <mergeCell ref="A10:A11"/>
    <mergeCell ref="L4:O4"/>
    <mergeCell ref="A9:B9"/>
    <mergeCell ref="B41:C41"/>
    <mergeCell ref="B42:C42"/>
    <mergeCell ref="B46:C46"/>
    <mergeCell ref="K6:L6"/>
    <mergeCell ref="L20:M20"/>
    <mergeCell ref="F20:G20"/>
    <mergeCell ref="M6:O6"/>
    <mergeCell ref="L90:M90"/>
    <mergeCell ref="H24:I24"/>
    <mergeCell ref="H76:I76"/>
    <mergeCell ref="A12:A27"/>
    <mergeCell ref="N20:N21"/>
    <mergeCell ref="J76:K76"/>
    <mergeCell ref="L27:M27"/>
    <mergeCell ref="A74:A81"/>
    <mergeCell ref="D43:E43"/>
    <mergeCell ref="F90:G90"/>
    <mergeCell ref="H90:I90"/>
    <mergeCell ref="J41:K41"/>
    <mergeCell ref="L41:M41"/>
    <mergeCell ref="H47:I47"/>
    <mergeCell ref="L62:O62"/>
    <mergeCell ref="F27:G27"/>
    <mergeCell ref="J47:K47"/>
    <mergeCell ref="H27:I27"/>
    <mergeCell ref="B74:C74"/>
    <mergeCell ref="J90:K90"/>
    <mergeCell ref="B68:C68"/>
    <mergeCell ref="N23:O23"/>
    <mergeCell ref="F26:G26"/>
    <mergeCell ref="H88:I88"/>
    <mergeCell ref="N10:N11"/>
    <mergeCell ref="B87:C87"/>
    <mergeCell ref="D87:E87"/>
    <mergeCell ref="M7:O7"/>
    <mergeCell ref="D40:E40"/>
    <mergeCell ref="H44:I44"/>
    <mergeCell ref="F40:G40"/>
    <mergeCell ref="D80:E80"/>
    <mergeCell ref="J84:K84"/>
    <mergeCell ref="J78:K78"/>
    <mergeCell ref="D21:E21"/>
    <mergeCell ref="L78:M78"/>
    <mergeCell ref="J30:K30"/>
    <mergeCell ref="F24:G24"/>
    <mergeCell ref="H46:I46"/>
    <mergeCell ref="N24:N26"/>
    <mergeCell ref="L71:M71"/>
    <mergeCell ref="J80:K80"/>
    <mergeCell ref="L23:M23"/>
    <mergeCell ref="D41:E41"/>
    <mergeCell ref="F85:G85"/>
    <mergeCell ref="F42:G42"/>
    <mergeCell ref="B79:C79"/>
    <mergeCell ref="D91:E91"/>
    <mergeCell ref="L26:M26"/>
    <mergeCell ref="F91:G91"/>
    <mergeCell ref="B44:C44"/>
    <mergeCell ref="C1:K2"/>
    <mergeCell ref="L10:M10"/>
    <mergeCell ref="J25:K25"/>
    <mergeCell ref="L76:M76"/>
    <mergeCell ref="L25:M25"/>
    <mergeCell ref="F22:G22"/>
    <mergeCell ref="C29:O29"/>
    <mergeCell ref="H84:I84"/>
    <mergeCell ref="H22:I22"/>
    <mergeCell ref="J91:K91"/>
    <mergeCell ref="A4:B4"/>
    <mergeCell ref="D25:E25"/>
    <mergeCell ref="F77:G77"/>
    <mergeCell ref="K7:L7"/>
    <mergeCell ref="H77:I77"/>
    <mergeCell ref="D30:E30"/>
    <mergeCell ref="H86:I86"/>
    <mergeCell ref="B20:C20"/>
    <mergeCell ref="H42:I42"/>
    <mergeCell ref="D7:J7"/>
    <mergeCell ref="J89:K89"/>
    <mergeCell ref="L89:M89"/>
    <mergeCell ref="C83:O83"/>
    <mergeCell ref="J74:K74"/>
    <mergeCell ref="B88:C88"/>
    <mergeCell ref="L74:M74"/>
    <mergeCell ref="O44:O47"/>
    <mergeCell ref="J26:K26"/>
    <mergeCell ref="L88:M88"/>
    <mergeCell ref="J42:K42"/>
    <mergeCell ref="B45:C45"/>
    <mergeCell ref="B76:C76"/>
    <mergeCell ref="B85:C85"/>
    <mergeCell ref="J79:K79"/>
    <mergeCell ref="F87:G87"/>
    <mergeCell ref="B7:C7"/>
    <mergeCell ref="J81:K81"/>
    <mergeCell ref="B81:C81"/>
    <mergeCell ref="H43:I43"/>
    <mergeCell ref="D81:E81"/>
    <mergeCell ref="D85:E85"/>
    <mergeCell ref="A84:A91"/>
    <mergeCell ref="J20:K20"/>
    <mergeCell ref="J22:K22"/>
    <mergeCell ref="J71:K71"/>
    <mergeCell ref="H23:I23"/>
    <mergeCell ref="B26:C26"/>
    <mergeCell ref="J23:K23"/>
    <mergeCell ref="D26:E26"/>
    <mergeCell ref="B89:C89"/>
    <mergeCell ref="D89:E89"/>
    <mergeCell ref="H91:I91"/>
    <mergeCell ref="D10:E10"/>
    <mergeCell ref="B25:C25"/>
    <mergeCell ref="F10:G10"/>
    <mergeCell ref="A70:A71"/>
    <mergeCell ref="F89:G89"/>
    <mergeCell ref="H40:I40"/>
    <mergeCell ref="L86:M86"/>
    <mergeCell ref="J44:K44"/>
    <mergeCell ref="B47:C47"/>
    <mergeCell ref="J67:K67"/>
    <mergeCell ref="F78:G78"/>
    <mergeCell ref="H78:I78"/>
    <mergeCell ref="D74:E74"/>
    <mergeCell ref="D75:E75"/>
    <mergeCell ref="L30:M30"/>
    <mergeCell ref="F75:G75"/>
    <mergeCell ref="D47:E47"/>
    <mergeCell ref="F47:G47"/>
    <mergeCell ref="J85:K85"/>
    <mergeCell ref="L85:M85"/>
    <mergeCell ref="F46:G46"/>
    <mergeCell ref="H75:I75"/>
    <mergeCell ref="B84:C84"/>
    <mergeCell ref="J75:K75"/>
    <mergeCell ref="L44:M44"/>
    <mergeCell ref="B70:C71"/>
    <mergeCell ref="D79:E79"/>
    <mergeCell ref="A83:B83"/>
    <mergeCell ref="L47:M47"/>
    <mergeCell ref="A32:A47"/>
    <mergeCell ref="B90:C90"/>
    <mergeCell ref="D90:E90"/>
    <mergeCell ref="C62:K63"/>
    <mergeCell ref="H41:I41"/>
    <mergeCell ref="J88:K88"/>
    <mergeCell ref="B27:C27"/>
    <mergeCell ref="F74:G74"/>
    <mergeCell ref="H74:I74"/>
    <mergeCell ref="H25:I25"/>
    <mergeCell ref="J77:K77"/>
    <mergeCell ref="F30:G30"/>
    <mergeCell ref="D76:E76"/>
    <mergeCell ref="F76:G76"/>
    <mergeCell ref="F45:G45"/>
    <mergeCell ref="H80:I80"/>
    <mergeCell ref="B30:B31"/>
    <mergeCell ref="D68:H68"/>
    <mergeCell ref="H85:I85"/>
    <mergeCell ref="D88:E88"/>
    <mergeCell ref="F88:G88"/>
    <mergeCell ref="H87:I87"/>
    <mergeCell ref="J87:K87"/>
    <mergeCell ref="H81:I81"/>
    <mergeCell ref="H30:I30"/>
    <mergeCell ref="L84:M84"/>
    <mergeCell ref="B6:C6"/>
    <mergeCell ref="O10:O11"/>
    <mergeCell ref="N30:N31"/>
    <mergeCell ref="D70:E71"/>
    <mergeCell ref="J46:K46"/>
    <mergeCell ref="N70:N71"/>
    <mergeCell ref="L46:M46"/>
    <mergeCell ref="B80:C80"/>
    <mergeCell ref="F43:G43"/>
    <mergeCell ref="N40:N41"/>
    <mergeCell ref="J21:K21"/>
    <mergeCell ref="B24:C24"/>
    <mergeCell ref="L21:M21"/>
    <mergeCell ref="D24:E24"/>
    <mergeCell ref="L81:M81"/>
    <mergeCell ref="M67:O67"/>
    <mergeCell ref="H71:I71"/>
    <mergeCell ref="D23:E23"/>
    <mergeCell ref="D67:H67"/>
    <mergeCell ref="L77:M77"/>
    <mergeCell ref="B75:C75"/>
    <mergeCell ref="I65:J65"/>
    <mergeCell ref="J40:K40"/>
    <mergeCell ref="N43:O43"/>
    <mergeCell ref="L24:M24"/>
    <mergeCell ref="D27:E27"/>
    <mergeCell ref="H20:I20"/>
    <mergeCell ref="D46:E46"/>
    <mergeCell ref="C73:O73"/>
    <mergeCell ref="L40:M40"/>
    <mergeCell ref="M68:O68"/>
    <mergeCell ref="O70:O71"/>
    <mergeCell ref="F70:M70"/>
    <mergeCell ref="F44:G44"/>
    <mergeCell ref="O30:O31"/>
    <mergeCell ref="L65:O65"/>
    <mergeCell ref="L42:M42"/>
    <mergeCell ref="L22:M22"/>
    <mergeCell ref="B43:C43"/>
    <mergeCell ref="F21:G21"/>
    <mergeCell ref="H21:I21"/>
    <mergeCell ref="L43:M43"/>
    <mergeCell ref="A65:B65"/>
    <mergeCell ref="J24:K24"/>
    <mergeCell ref="O24:O27"/>
    <mergeCell ref="F84:G84"/>
    <mergeCell ref="D45:E45"/>
    <mergeCell ref="B77:C77"/>
    <mergeCell ref="C4:G4"/>
    <mergeCell ref="B21:C21"/>
    <mergeCell ref="J68:K68"/>
    <mergeCell ref="D77:E77"/>
    <mergeCell ref="D44:E44"/>
    <mergeCell ref="C65:G65"/>
    <mergeCell ref="B67:C67"/>
    <mergeCell ref="F80:G80"/>
    <mergeCell ref="J45:K45"/>
    <mergeCell ref="L45:M45"/>
    <mergeCell ref="O40:O41"/>
    <mergeCell ref="F79:G79"/>
    <mergeCell ref="H79:I79"/>
    <mergeCell ref="B78:C78"/>
    <mergeCell ref="D78:E78"/>
    <mergeCell ref="H45:I45"/>
    <mergeCell ref="F23:G23"/>
    <mergeCell ref="F81:G81"/>
    <mergeCell ref="L80:M80"/>
    <mergeCell ref="O20:O21"/>
    <mergeCell ref="B91:C91"/>
    <mergeCell ref="D20:E20"/>
    <mergeCell ref="C30:C31"/>
    <mergeCell ref="L91:M91"/>
    <mergeCell ref="N44:N46"/>
    <mergeCell ref="H10:I10"/>
    <mergeCell ref="A73:B73"/>
    <mergeCell ref="F25:G25"/>
    <mergeCell ref="J10:K10"/>
    <mergeCell ref="B22:C22"/>
    <mergeCell ref="D84:E84"/>
    <mergeCell ref="D22:E22"/>
    <mergeCell ref="L75:M75"/>
    <mergeCell ref="C10:C11"/>
    <mergeCell ref="B86:C86"/>
    <mergeCell ref="D86:E86"/>
    <mergeCell ref="F86:G86"/>
    <mergeCell ref="H89:I89"/>
    <mergeCell ref="J86:K86"/>
    <mergeCell ref="L79:M79"/>
    <mergeCell ref="B40:C40"/>
    <mergeCell ref="F71:G71"/>
    <mergeCell ref="L87:M87"/>
    <mergeCell ref="B23:C23"/>
  </mergeCells>
  <conditionalFormatting sqref="A12:C19">
    <cfRule type="expression" dxfId="127" priority="15">
      <formula>AND($B12&lt;&gt;"",$N12="")</formula>
    </cfRule>
  </conditionalFormatting>
  <conditionalFormatting sqref="A32:C39">
    <cfRule type="expression" dxfId="126" priority="82">
      <formula>AND($B32&lt;&gt;"",$N32="")</formula>
    </cfRule>
  </conditionalFormatting>
  <conditionalFormatting sqref="A9:O9">
    <cfRule type="expression" dxfId="125" priority="7">
      <formula>Lyga="A"</formula>
    </cfRule>
    <cfRule type="expression" dxfId="124" priority="8">
      <formula>Lyga="B"</formula>
    </cfRule>
    <cfRule type="expression" dxfId="123" priority="9">
      <formula>Lyga="C"</formula>
    </cfRule>
  </conditionalFormatting>
  <conditionalFormatting sqref="A10:O11">
    <cfRule type="expression" dxfId="122" priority="10">
      <formula>Lyga="A"</formula>
    </cfRule>
    <cfRule type="expression" dxfId="121" priority="11">
      <formula>Lyga="B"</formula>
    </cfRule>
    <cfRule type="expression" dxfId="120" priority="12">
      <formula>Lyga="C"</formula>
    </cfRule>
  </conditionalFormatting>
  <conditionalFormatting sqref="A29:O29">
    <cfRule type="expression" dxfId="119" priority="76">
      <formula>Lyga="C"</formula>
    </cfRule>
    <cfRule type="expression" dxfId="118" priority="74">
      <formula>Lyga="A"</formula>
    </cfRule>
    <cfRule type="expression" dxfId="117" priority="75">
      <formula>Lyga="B"</formula>
    </cfRule>
  </conditionalFormatting>
  <conditionalFormatting sqref="A30:O31">
    <cfRule type="expression" dxfId="116" priority="77">
      <formula>Lyga="A"</formula>
    </cfRule>
    <cfRule type="expression" dxfId="115" priority="78">
      <formula>Lyga="B"</formula>
    </cfRule>
    <cfRule type="expression" dxfId="114" priority="79">
      <formula>Lyga="C"</formula>
    </cfRule>
  </conditionalFormatting>
  <conditionalFormatting sqref="A70:O71">
    <cfRule type="expression" dxfId="113" priority="147">
      <formula>Lyga="A"</formula>
    </cfRule>
    <cfRule type="expression" dxfId="112" priority="148">
      <formula>Lyga="B"</formula>
    </cfRule>
    <cfRule type="expression" dxfId="111" priority="149">
      <formula>Lyga="C"</formula>
    </cfRule>
  </conditionalFormatting>
  <conditionalFormatting sqref="A73:O73">
    <cfRule type="expression" dxfId="110" priority="150">
      <formula>Lyga="A"</formula>
    </cfRule>
    <cfRule type="expression" dxfId="109" priority="151">
      <formula>Lyga="B"</formula>
    </cfRule>
    <cfRule type="expression" dxfId="108" priority="152">
      <formula>Lyga="C"</formula>
    </cfRule>
  </conditionalFormatting>
  <conditionalFormatting sqref="A83:O83">
    <cfRule type="expression" dxfId="107" priority="157">
      <formula>Lyga="A"</formula>
    </cfRule>
    <cfRule type="expression" dxfId="106" priority="159">
      <formula>Lyga="C"</formula>
    </cfRule>
    <cfRule type="expression" dxfId="105" priority="158">
      <formula>Lyga="B"</formula>
    </cfRule>
  </conditionalFormatting>
  <conditionalFormatting sqref="B74:O81">
    <cfRule type="expression" dxfId="104" priority="156">
      <formula>AND($B74&lt;&gt;"",$N12="")</formula>
    </cfRule>
    <cfRule type="expression" dxfId="103" priority="155" stopIfTrue="1">
      <formula>$B74=""</formula>
    </cfRule>
  </conditionalFormatting>
  <conditionalFormatting sqref="B84:O91">
    <cfRule type="expression" dxfId="102" priority="162" stopIfTrue="1">
      <formula>$B84=""</formula>
    </cfRule>
    <cfRule type="expression" dxfId="101" priority="163">
      <formula>AND($B84&lt;&gt;"",$N32="")</formula>
    </cfRule>
  </conditionalFormatting>
  <conditionalFormatting sqref="C12:C19">
    <cfRule type="expression" dxfId="100" priority="16">
      <formula>C12=0</formula>
    </cfRule>
  </conditionalFormatting>
  <conditionalFormatting sqref="C32:C39">
    <cfRule type="expression" dxfId="99" priority="83">
      <formula>C32=0</formula>
    </cfRule>
  </conditionalFormatting>
  <conditionalFormatting sqref="C1:K2">
    <cfRule type="expression" dxfId="98" priority="2">
      <formula>Lyga="B"</formula>
    </cfRule>
    <cfRule type="expression" dxfId="97" priority="3">
      <formula>Lyga="C"</formula>
    </cfRule>
    <cfRule type="expression" dxfId="96" priority="1">
      <formula>Lyga="A"</formula>
    </cfRule>
  </conditionalFormatting>
  <conditionalFormatting sqref="C62:K63">
    <cfRule type="expression" dxfId="95" priority="141">
      <formula>Lyga="A"</formula>
    </cfRule>
    <cfRule type="expression" dxfId="94" priority="142">
      <formula>Lyga="B"</formula>
    </cfRule>
    <cfRule type="expression" dxfId="93" priority="143">
      <formula>Lyga="C"</formula>
    </cfRule>
  </conditionalFormatting>
  <conditionalFormatting sqref="D20">
    <cfRule type="expression" priority="40" stopIfTrue="1">
      <formula>D20+$D$40=0</formula>
    </cfRule>
    <cfRule type="iconSet" priority="41">
      <iconSet>
        <cfvo type="percent" val="0"/>
        <cfvo type="formula" val="$D$40"/>
        <cfvo type="formula" val="$D$40+0.5"/>
      </iconSet>
    </cfRule>
  </conditionalFormatting>
  <conditionalFormatting sqref="D21">
    <cfRule type="iconSet" priority="51">
      <iconSet>
        <cfvo type="percent" val="0"/>
        <cfvo type="formula" val="$D$41"/>
        <cfvo type="formula" val="$D$41+0.5"/>
      </iconSet>
    </cfRule>
    <cfRule type="expression" priority="50" stopIfTrue="1">
      <formula>D21+$D$41=0</formula>
    </cfRule>
  </conditionalFormatting>
  <conditionalFormatting sqref="D23">
    <cfRule type="expression" priority="62" stopIfTrue="1">
      <formula>D22+D42=0</formula>
    </cfRule>
    <cfRule type="iconSet" priority="63">
      <iconSet>
        <cfvo type="percent" val="0"/>
        <cfvo type="formula" val="0"/>
        <cfvo type="formula" val="0.5"/>
      </iconSet>
    </cfRule>
  </conditionalFormatting>
  <conditionalFormatting sqref="D40">
    <cfRule type="iconSet" priority="108">
      <iconSet>
        <cfvo type="percent" val="0"/>
        <cfvo type="formula" val="$D$20"/>
        <cfvo type="formula" val="$D$20+0.5"/>
      </iconSet>
    </cfRule>
    <cfRule type="expression" priority="107" stopIfTrue="1">
      <formula>D40+$D$20=0</formula>
    </cfRule>
  </conditionalFormatting>
  <conditionalFormatting sqref="D41">
    <cfRule type="iconSet" priority="118">
      <iconSet>
        <cfvo type="percent" val="0"/>
        <cfvo type="formula" val="$D$21"/>
        <cfvo type="formula" val="$D$21+0.5"/>
      </iconSet>
    </cfRule>
    <cfRule type="expression" priority="117" stopIfTrue="1">
      <formula>D41+$D$21=0</formula>
    </cfRule>
  </conditionalFormatting>
  <conditionalFormatting sqref="D43">
    <cfRule type="iconSet" priority="130">
      <iconSet>
        <cfvo type="percent" val="0"/>
        <cfvo type="formula" val="0"/>
        <cfvo type="formula" val="0.5"/>
      </iconSet>
    </cfRule>
    <cfRule type="expression" priority="129" stopIfTrue="1">
      <formula>D42+D22=0</formula>
    </cfRule>
  </conditionalFormatting>
  <conditionalFormatting sqref="D12:E19">
    <cfRule type="expression" dxfId="92" priority="20" stopIfTrue="1">
      <formula>$R12&lt;&gt;""</formula>
    </cfRule>
  </conditionalFormatting>
  <conditionalFormatting sqref="D32:E39">
    <cfRule type="expression" dxfId="91" priority="87" stopIfTrue="1">
      <formula>$R32&lt;&gt;""</formula>
    </cfRule>
  </conditionalFormatting>
  <conditionalFormatting sqref="E12:E19 G12:G19 I12:I19 K12:K19 M12:M19">
    <cfRule type="cellIs" dxfId="90" priority="17" operator="greaterThanOrEqual">
      <formula>300</formula>
    </cfRule>
    <cfRule type="cellIs" dxfId="89" priority="18" operator="between">
      <formula>250</formula>
      <formula>299</formula>
    </cfRule>
    <cfRule type="cellIs" dxfId="88" priority="19" operator="between">
      <formula>200</formula>
      <formula>249</formula>
    </cfRule>
  </conditionalFormatting>
  <conditionalFormatting sqref="E12:E19">
    <cfRule type="expression" dxfId="87" priority="22">
      <formula>LEFT($D12,1)="1"</formula>
    </cfRule>
    <cfRule type="expression" dxfId="86" priority="23">
      <formula>LEFT($D12,1)="2"</formula>
    </cfRule>
  </conditionalFormatting>
  <conditionalFormatting sqref="E32:E39 G32:G39 I32:I39 K32:K39 M32:M39">
    <cfRule type="cellIs" dxfId="85" priority="85" operator="between">
      <formula>250</formula>
      <formula>299</formula>
    </cfRule>
    <cfRule type="cellIs" dxfId="84" priority="86" operator="between">
      <formula>200</formula>
      <formula>249</formula>
    </cfRule>
    <cfRule type="cellIs" dxfId="83" priority="84" operator="greaterThanOrEqual">
      <formula>300</formula>
    </cfRule>
  </conditionalFormatting>
  <conditionalFormatting sqref="E32:E39">
    <cfRule type="expression" dxfId="82" priority="89">
      <formula>LEFT($D32,1)="1"</formula>
    </cfRule>
    <cfRule type="expression" dxfId="81" priority="90">
      <formula>LEFT($D32,1)="2"</formula>
    </cfRule>
  </conditionalFormatting>
  <conditionalFormatting sqref="F20">
    <cfRule type="iconSet" priority="43">
      <iconSet>
        <cfvo type="percent" val="0"/>
        <cfvo type="formula" val="$F$41"/>
        <cfvo type="formula" val="$F$41+0.5"/>
      </iconSet>
    </cfRule>
    <cfRule type="expression" priority="42" stopIfTrue="1">
      <formula>F20+$F$41=0</formula>
    </cfRule>
  </conditionalFormatting>
  <conditionalFormatting sqref="F21">
    <cfRule type="expression" priority="52" stopIfTrue="1">
      <formula>F21+$F$40=0</formula>
    </cfRule>
    <cfRule type="iconSet" priority="53">
      <iconSet>
        <cfvo type="percent" val="0"/>
        <cfvo type="formula" val="$F$40"/>
        <cfvo type="formula" val="$F$40+0.5"/>
      </iconSet>
    </cfRule>
  </conditionalFormatting>
  <conditionalFormatting sqref="F23">
    <cfRule type="iconSet" priority="65">
      <iconSet>
        <cfvo type="percent" val="0"/>
        <cfvo type="formula" val="0"/>
        <cfvo type="formula" val="0.5"/>
      </iconSet>
    </cfRule>
    <cfRule type="expression" priority="64" stopIfTrue="1">
      <formula>F22+F42=0</formula>
    </cfRule>
  </conditionalFormatting>
  <conditionalFormatting sqref="F40">
    <cfRule type="expression" priority="109" stopIfTrue="1">
      <formula>F40+$F$21=0</formula>
    </cfRule>
    <cfRule type="iconSet" priority="110">
      <iconSet>
        <cfvo type="percent" val="0"/>
        <cfvo type="formula" val="$F$21"/>
        <cfvo type="formula" val="$F$21+0.5"/>
      </iconSet>
    </cfRule>
  </conditionalFormatting>
  <conditionalFormatting sqref="F41">
    <cfRule type="iconSet" priority="120">
      <iconSet>
        <cfvo type="percent" val="0"/>
        <cfvo type="formula" val="$F$20"/>
        <cfvo type="formula" val="$F$20+0.5"/>
      </iconSet>
    </cfRule>
    <cfRule type="expression" priority="119" stopIfTrue="1">
      <formula>F41+$F$20=0</formula>
    </cfRule>
  </conditionalFormatting>
  <conditionalFormatting sqref="F43">
    <cfRule type="iconSet" priority="132">
      <iconSet>
        <cfvo type="percent" val="0"/>
        <cfvo type="formula" val="0"/>
        <cfvo type="formula" val="0.5"/>
      </iconSet>
    </cfRule>
    <cfRule type="expression" priority="131" stopIfTrue="1">
      <formula>F42+F22=0</formula>
    </cfRule>
  </conditionalFormatting>
  <conditionalFormatting sqref="F12:G19">
    <cfRule type="expression" dxfId="80" priority="24" stopIfTrue="1">
      <formula>$S12&lt;&gt;""</formula>
    </cfRule>
  </conditionalFormatting>
  <conditionalFormatting sqref="F32:G39">
    <cfRule type="expression" dxfId="79" priority="91" stopIfTrue="1">
      <formula>$S32&lt;&gt;""</formula>
    </cfRule>
  </conditionalFormatting>
  <conditionalFormatting sqref="G12:G19">
    <cfRule type="expression" dxfId="78" priority="26">
      <formula>LEFT($F12,1)="1"</formula>
    </cfRule>
    <cfRule type="expression" dxfId="77" priority="27">
      <formula>LEFT($F12,1)="2"</formula>
    </cfRule>
  </conditionalFormatting>
  <conditionalFormatting sqref="G32:G39">
    <cfRule type="expression" dxfId="76" priority="93">
      <formula>LEFT($F32,1)="1"</formula>
    </cfRule>
    <cfRule type="expression" dxfId="75" priority="94">
      <formula>LEFT($F32,1)="2"</formula>
    </cfRule>
  </conditionalFormatting>
  <conditionalFormatting sqref="H20">
    <cfRule type="iconSet" priority="45">
      <iconSet>
        <cfvo type="percent" val="0"/>
        <cfvo type="formula" val="$H$40"/>
        <cfvo type="formula" val="$H$40+0.5"/>
      </iconSet>
    </cfRule>
    <cfRule type="expression" priority="44" stopIfTrue="1">
      <formula>H20+$H$40=0</formula>
    </cfRule>
  </conditionalFormatting>
  <conditionalFormatting sqref="H21">
    <cfRule type="expression" priority="54" stopIfTrue="1">
      <formula>H21+$H$41=0</formula>
    </cfRule>
    <cfRule type="iconSet" priority="55">
      <iconSet>
        <cfvo type="percent" val="0"/>
        <cfvo type="formula" val="$H$41"/>
        <cfvo type="formula" val="$H$41+0.5"/>
      </iconSet>
    </cfRule>
  </conditionalFormatting>
  <conditionalFormatting sqref="H23">
    <cfRule type="iconSet" priority="67">
      <iconSet>
        <cfvo type="percent" val="0"/>
        <cfvo type="formula" val="0"/>
        <cfvo type="formula" val="0.5"/>
      </iconSet>
    </cfRule>
    <cfRule type="expression" priority="66" stopIfTrue="1">
      <formula>H22+H42=0</formula>
    </cfRule>
  </conditionalFormatting>
  <conditionalFormatting sqref="H40">
    <cfRule type="expression" priority="111" stopIfTrue="1">
      <formula>H40+$H$20=0</formula>
    </cfRule>
    <cfRule type="iconSet" priority="112">
      <iconSet>
        <cfvo type="percent" val="0"/>
        <cfvo type="formula" val="$H$20"/>
        <cfvo type="formula" val="$H$20+0.5"/>
      </iconSet>
    </cfRule>
  </conditionalFormatting>
  <conditionalFormatting sqref="H41">
    <cfRule type="iconSet" priority="122">
      <iconSet>
        <cfvo type="percent" val="0"/>
        <cfvo type="formula" val="$H$21"/>
        <cfvo type="formula" val="$H$21+0.5"/>
      </iconSet>
    </cfRule>
    <cfRule type="expression" priority="121" stopIfTrue="1">
      <formula>H41+$H$21=0</formula>
    </cfRule>
  </conditionalFormatting>
  <conditionalFormatting sqref="H43">
    <cfRule type="iconSet" priority="134">
      <iconSet>
        <cfvo type="percent" val="0"/>
        <cfvo type="formula" val="0"/>
        <cfvo type="formula" val="0.5"/>
      </iconSet>
    </cfRule>
    <cfRule type="expression" priority="133" stopIfTrue="1">
      <formula>H42+H22=0</formula>
    </cfRule>
  </conditionalFormatting>
  <conditionalFormatting sqref="H12:I19">
    <cfRule type="expression" dxfId="74" priority="28" stopIfTrue="1">
      <formula>$T12&lt;&gt;""</formula>
    </cfRule>
  </conditionalFormatting>
  <conditionalFormatting sqref="H32:I39">
    <cfRule type="expression" dxfId="73" priority="95" stopIfTrue="1">
      <formula>$T32&lt;&gt;""</formula>
    </cfRule>
  </conditionalFormatting>
  <conditionalFormatting sqref="I12:I19">
    <cfRule type="expression" dxfId="72" priority="30">
      <formula>LEFT($H12,1)="1"</formula>
    </cfRule>
    <cfRule type="expression" dxfId="71" priority="31">
      <formula>LEFT($H12,1)="2"</formula>
    </cfRule>
  </conditionalFormatting>
  <conditionalFormatting sqref="I32:I39">
    <cfRule type="expression" dxfId="70" priority="97">
      <formula>LEFT($H32,1)="1"</formula>
    </cfRule>
    <cfRule type="expression" dxfId="69" priority="98">
      <formula>LEFT($H32,1)="2"</formula>
    </cfRule>
  </conditionalFormatting>
  <conditionalFormatting sqref="J20">
    <cfRule type="expression" priority="46" stopIfTrue="1">
      <formula>J20+$J$40=0</formula>
    </cfRule>
    <cfRule type="iconSet" priority="47">
      <iconSet>
        <cfvo type="percent" val="0"/>
        <cfvo type="formula" val="$J$40"/>
        <cfvo type="formula" val="$J$40+0.5"/>
      </iconSet>
    </cfRule>
  </conditionalFormatting>
  <conditionalFormatting sqref="J21">
    <cfRule type="expression" priority="56" stopIfTrue="1">
      <formula>J21+$J$41=0</formula>
    </cfRule>
    <cfRule type="iconSet" priority="57">
      <iconSet>
        <cfvo type="percent" val="0"/>
        <cfvo type="formula" val="$J$41"/>
        <cfvo type="formula" val="$J$41+0.5"/>
      </iconSet>
    </cfRule>
  </conditionalFormatting>
  <conditionalFormatting sqref="J23">
    <cfRule type="iconSet" priority="69">
      <iconSet>
        <cfvo type="percent" val="0"/>
        <cfvo type="formula" val="0"/>
        <cfvo type="formula" val="0.5"/>
      </iconSet>
    </cfRule>
    <cfRule type="expression" priority="68" stopIfTrue="1">
      <formula>J22+J42=0</formula>
    </cfRule>
  </conditionalFormatting>
  <conditionalFormatting sqref="J40">
    <cfRule type="iconSet" priority="114">
      <iconSet>
        <cfvo type="percent" val="0"/>
        <cfvo type="formula" val="$J$20"/>
        <cfvo type="formula" val="$J$20+0.5"/>
      </iconSet>
    </cfRule>
    <cfRule type="expression" priority="113" stopIfTrue="1">
      <formula>J40+$J$20=0</formula>
    </cfRule>
  </conditionalFormatting>
  <conditionalFormatting sqref="J41">
    <cfRule type="expression" priority="123" stopIfTrue="1">
      <formula>J41+$J$21=0</formula>
    </cfRule>
    <cfRule type="iconSet" priority="124">
      <iconSet>
        <cfvo type="percent" val="0"/>
        <cfvo type="formula" val="$J$21"/>
        <cfvo type="formula" val="$J$21+0.5"/>
      </iconSet>
    </cfRule>
  </conditionalFormatting>
  <conditionalFormatting sqref="J43">
    <cfRule type="iconSet" priority="136">
      <iconSet>
        <cfvo type="percent" val="0"/>
        <cfvo type="formula" val="0"/>
        <cfvo type="formula" val="0.5"/>
      </iconSet>
    </cfRule>
    <cfRule type="expression" priority="135" stopIfTrue="1">
      <formula>J42+J22=0</formula>
    </cfRule>
  </conditionalFormatting>
  <conditionalFormatting sqref="J12:K19">
    <cfRule type="expression" dxfId="68" priority="32" stopIfTrue="1">
      <formula>$U12&lt;&gt;""</formula>
    </cfRule>
  </conditionalFormatting>
  <conditionalFormatting sqref="J32:K39">
    <cfRule type="expression" dxfId="67" priority="99" stopIfTrue="1">
      <formula>$U32&lt;&gt;""</formula>
    </cfRule>
  </conditionalFormatting>
  <conditionalFormatting sqref="K12:K19">
    <cfRule type="expression" dxfId="66" priority="35">
      <formula>LEFT($J12,1)="2"</formula>
    </cfRule>
    <cfRule type="expression" dxfId="65" priority="34">
      <formula>LEFT($J12,1)="1"</formula>
    </cfRule>
  </conditionalFormatting>
  <conditionalFormatting sqref="K32:K39">
    <cfRule type="expression" dxfId="64" priority="102">
      <formula>LEFT($J32,1)="2"</formula>
    </cfRule>
    <cfRule type="expression" dxfId="63" priority="101">
      <formula>LEFT($J32,1)="1"</formula>
    </cfRule>
  </conditionalFormatting>
  <conditionalFormatting sqref="L20">
    <cfRule type="expression" priority="48" stopIfTrue="1">
      <formula>L20+$L$41=0</formula>
    </cfRule>
    <cfRule type="iconSet" priority="49">
      <iconSet>
        <cfvo type="percent" val="0"/>
        <cfvo type="formula" val="$L$41"/>
        <cfvo type="formula" val="$L$41+0.5"/>
      </iconSet>
    </cfRule>
  </conditionalFormatting>
  <conditionalFormatting sqref="L21">
    <cfRule type="expression" priority="58" stopIfTrue="1">
      <formula>L21+$L$40=0</formula>
    </cfRule>
    <cfRule type="iconSet" priority="59">
      <iconSet>
        <cfvo type="percent" val="0"/>
        <cfvo type="formula" val="$L$40"/>
        <cfvo type="formula" val="$L$40+0.5"/>
      </iconSet>
    </cfRule>
  </conditionalFormatting>
  <conditionalFormatting sqref="L23">
    <cfRule type="expression" priority="70" stopIfTrue="1">
      <formula>L22+L42=0</formula>
    </cfRule>
    <cfRule type="iconSet" priority="71">
      <iconSet>
        <cfvo type="percent" val="0"/>
        <cfvo type="formula" val="0"/>
        <cfvo type="formula" val="0.5"/>
      </iconSet>
    </cfRule>
  </conditionalFormatting>
  <conditionalFormatting sqref="L40">
    <cfRule type="expression" priority="115" stopIfTrue="1">
      <formula>L40+$L$21=0</formula>
    </cfRule>
    <cfRule type="iconSet" priority="116">
      <iconSet>
        <cfvo type="percent" val="0"/>
        <cfvo type="formula" val="$L$21"/>
        <cfvo type="formula" val="$L$21+0.5"/>
      </iconSet>
    </cfRule>
  </conditionalFormatting>
  <conditionalFormatting sqref="L41">
    <cfRule type="expression" priority="125" stopIfTrue="1">
      <formula>L41+$L$20=0</formula>
    </cfRule>
    <cfRule type="iconSet" priority="126">
      <iconSet>
        <cfvo type="percent" val="0"/>
        <cfvo type="formula" val="$L$20"/>
        <cfvo type="formula" val="$L$20+0.5"/>
      </iconSet>
    </cfRule>
  </conditionalFormatting>
  <conditionalFormatting sqref="L43">
    <cfRule type="iconSet" priority="138">
      <iconSet>
        <cfvo type="percent" val="0"/>
        <cfvo type="formula" val="0"/>
        <cfvo type="formula" val="0.5"/>
      </iconSet>
    </cfRule>
    <cfRule type="expression" priority="137" stopIfTrue="1">
      <formula>L42+L22=0</formula>
    </cfRule>
  </conditionalFormatting>
  <conditionalFormatting sqref="L12:M19">
    <cfRule type="expression" dxfId="62" priority="36" stopIfTrue="1">
      <formula>$V12&lt;&gt;""</formula>
    </cfRule>
  </conditionalFormatting>
  <conditionalFormatting sqref="L32:M39">
    <cfRule type="expression" dxfId="61" priority="103" stopIfTrue="1">
      <formula>$V32&lt;&gt;""</formula>
    </cfRule>
  </conditionalFormatting>
  <conditionalFormatting sqref="L1:O2">
    <cfRule type="expression" dxfId="60" priority="5">
      <formula>Lyga="B"</formula>
    </cfRule>
    <cfRule type="expression" dxfId="59" priority="6">
      <formula>Lyga="C"</formula>
    </cfRule>
    <cfRule type="expression" dxfId="58" priority="4">
      <formula>Lyga="A"</formula>
    </cfRule>
  </conditionalFormatting>
  <conditionalFormatting sqref="L62:O63">
    <cfRule type="expression" dxfId="57" priority="145">
      <formula>Lyga="B"</formula>
    </cfRule>
    <cfRule type="expression" dxfId="56" priority="146">
      <formula>Lyga="C"</formula>
    </cfRule>
    <cfRule type="expression" dxfId="55" priority="144">
      <formula>Lyga="A"</formula>
    </cfRule>
  </conditionalFormatting>
  <conditionalFormatting sqref="M12:M19">
    <cfRule type="expression" dxfId="54" priority="39">
      <formula>LEFT($L12,1)="2"</formula>
    </cfRule>
    <cfRule type="expression" dxfId="53" priority="38">
      <formula>LEFT($L12,1)="1"</formula>
    </cfRule>
  </conditionalFormatting>
  <conditionalFormatting sqref="M32:M39">
    <cfRule type="expression" dxfId="52" priority="105">
      <formula>LEFT($L32,1)="1"</formula>
    </cfRule>
    <cfRule type="expression" dxfId="51" priority="106">
      <formula>LEFT($L32,1)="2"</formula>
    </cfRule>
  </conditionalFormatting>
  <conditionalFormatting sqref="N23">
    <cfRule type="expression" priority="72" stopIfTrue="1">
      <formula>$N$20+$N$40=0</formula>
    </cfRule>
    <cfRule type="iconSet" priority="73">
      <iconSet iconSet="3Flags">
        <cfvo type="percent" val="0"/>
        <cfvo type="formula" val="0"/>
        <cfvo type="formula" val="0.5"/>
      </iconSet>
    </cfRule>
  </conditionalFormatting>
  <conditionalFormatting sqref="N43">
    <cfRule type="expression" priority="139" stopIfTrue="1">
      <formula>$N$40+$N$20=0</formula>
    </cfRule>
    <cfRule type="iconSet" priority="140">
      <iconSet iconSet="3Flags">
        <cfvo type="percent" val="0"/>
        <cfvo type="formula" val="0"/>
        <cfvo type="formula" val="0.5"/>
      </iconSet>
    </cfRule>
  </conditionalFormatting>
  <conditionalFormatting sqref="O12:O20">
    <cfRule type="cellIs" dxfId="50" priority="14" operator="greaterThanOrEqual">
      <formula>200</formula>
    </cfRule>
    <cfRule type="cellIs" dxfId="49" priority="13" operator="greaterThanOrEqual">
      <formula>250</formula>
    </cfRule>
  </conditionalFormatting>
  <conditionalFormatting sqref="O32:O40">
    <cfRule type="cellIs" dxfId="48" priority="80" operator="greaterThanOrEqual">
      <formula>250</formula>
    </cfRule>
    <cfRule type="cellIs" dxfId="47" priority="81" operator="greaterThanOrEqual">
      <formula>200</formula>
    </cfRule>
  </conditionalFormatting>
  <conditionalFormatting sqref="O74:O81">
    <cfRule type="cellIs" dxfId="46" priority="153" operator="greaterThanOrEqual">
      <formula>250</formula>
    </cfRule>
    <cfRule type="cellIs" dxfId="45" priority="154" operator="greaterThanOrEqual">
      <formula>200</formula>
    </cfRule>
  </conditionalFormatting>
  <conditionalFormatting sqref="O84:O91">
    <cfRule type="cellIs" dxfId="44" priority="160" operator="greaterThanOrEqual">
      <formula>250</formula>
    </cfRule>
    <cfRule type="cellIs" dxfId="43" priority="161" operator="greaterThanOrEqual">
      <formula>200</formula>
    </cfRule>
  </conditionalFormatting>
  <conditionalFormatting sqref="Q1">
    <cfRule type="expression" dxfId="42" priority="164">
      <formula>$Q$1&lt;&gt;""</formula>
    </cfRule>
  </conditionalFormatting>
  <dataValidations count="5">
    <dataValidation type="list" allowBlank="1" sqref="D12:D19 J32:J39 F32:F39" xr:uid="{00000000-0002-0000-0000-000000000000}">
      <formula1>List1</formula1>
    </dataValidation>
    <dataValidation type="whole" allowBlank="1" showErrorMessage="1" errorTitle="Netinkamas rezultatas" error="Partijos rezultatas – sveikas skaičius nuo 0 iki 300." sqref="E12:E19 M32:M39 K32:K39 I32:I39 G32:G39 E32:E39 M12:M19 K12:K19 I12:I19 G12:G19" xr:uid="{00000000-0002-0000-0000-000001000000}">
      <formula1>0</formula1>
      <formula2>300</formula2>
    </dataValidation>
    <dataValidation type="list" allowBlank="1" sqref="F12:F19 H32:H39" xr:uid="{00000000-0002-0000-0000-000002000000}">
      <formula1>List2</formula1>
    </dataValidation>
    <dataValidation type="list" allowBlank="1" sqref="H12:H19 L12:L19" xr:uid="{00000000-0002-0000-0000-000004000000}">
      <formula1>List3</formula1>
    </dataValidation>
    <dataValidation type="list" allowBlank="1" sqref="J12:J19 L32:L39 D32:D39" xr:uid="{00000000-0002-0000-0000-000006000000}">
      <formula1>List4</formula1>
    </dataValidation>
  </dataValidations>
  <printOptions horizontalCentered="1"/>
  <pageMargins left="0.24" right="0.24" top="0.35" bottom="0.35" header="0.15" footer="0.15"/>
  <pageSetup paperSize="9" fitToHeight="0" orientation="portrait"/>
  <headerFooter>
    <oddFooter>&amp;L&amp;8 &amp;K808080&amp;"Calibri,Italic"www.lbf-bowling.lt&amp;R&amp;8 &amp;K808080Lapas &amp;P iš &amp;N</oddFooter>
  </headerFooter>
  <rowBreaks count="1" manualBreakCount="1">
    <brk id="61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5"/>
  <sheetViews>
    <sheetView showGridLines="0" showRowColHeaders="0" tabSelected="1" workbookViewId="0">
      <selection activeCell="A32" sqref="A32:G32"/>
    </sheetView>
  </sheetViews>
  <sheetFormatPr defaultRowHeight="14.4" x14ac:dyDescent="0.3"/>
  <cols>
    <col min="1" max="1" width="5" customWidth="1"/>
    <col min="2" max="2" width="34" customWidth="1"/>
    <col min="3" max="3" width="8" customWidth="1"/>
    <col min="4" max="7" width="11" customWidth="1"/>
    <col min="8" max="8" width="2" customWidth="1"/>
    <col min="9" max="9" width="58" customWidth="1"/>
    <col min="10" max="14" width="3" hidden="1" customWidth="1"/>
  </cols>
  <sheetData>
    <row r="1" spans="1:13" ht="25.95" customHeight="1" x14ac:dyDescent="0.3">
      <c r="A1" s="250"/>
      <c r="B1" s="251"/>
      <c r="C1" s="257" t="s">
        <v>43</v>
      </c>
      <c r="D1" s="213"/>
      <c r="E1" s="213"/>
      <c r="F1" s="150"/>
      <c r="I1" s="29" t="str">
        <f>IF(COUNTIF($I$3:$I$55,"?*")&gt;0,"PROTOKOLAS DAR NEUŽPILDYTAS – žr. raudonas žymas žemiau","")</f>
        <v>PROTOKOLAS DAR NEUŽPILDYTAS – žr. raudonas žymas žemiau</v>
      </c>
      <c r="M1" t="b">
        <f>AND(OR($A$1="B",$A$1="C"),ISNUMBER(SEARCH("Kvalifikacijos",$C$5)))</f>
        <v>0</v>
      </c>
    </row>
    <row r="2" spans="1:13" ht="13.95" customHeight="1" x14ac:dyDescent="0.3">
      <c r="A2" s="252"/>
      <c r="B2" s="253"/>
      <c r="C2" s="249" t="s">
        <v>44</v>
      </c>
      <c r="D2" s="213"/>
      <c r="E2" s="213"/>
      <c r="F2" s="150"/>
      <c r="M2" t="str">
        <f>IF($M$1,TRIM($G$5),"")</f>
        <v/>
      </c>
    </row>
    <row r="3" spans="1:13" ht="13.05" customHeight="1" x14ac:dyDescent="0.3">
      <c r="A3" s="254"/>
      <c r="B3" s="255"/>
      <c r="C3" s="256" t="s">
        <v>45</v>
      </c>
      <c r="D3" s="213"/>
      <c r="E3" s="213"/>
      <c r="F3" s="150"/>
      <c r="M3" t="b">
        <f>COUNTIF($I$3:$I$55,"?*")=0</f>
        <v>0</v>
      </c>
    </row>
    <row r="4" spans="1:13" ht="4.05" customHeight="1" x14ac:dyDescent="0.3"/>
    <row r="5" spans="1:13" ht="19.95" customHeight="1" x14ac:dyDescent="0.3">
      <c r="A5" s="235" t="s">
        <v>46</v>
      </c>
      <c r="B5" s="150"/>
      <c r="C5" s="237"/>
      <c r="D5" s="238"/>
      <c r="E5" s="239"/>
      <c r="F5" s="30" t="s">
        <v>47</v>
      </c>
      <c r="G5" s="31" t="s">
        <v>549</v>
      </c>
      <c r="I5" s="14" t="str">
        <f>IF(TRIM(Etapas)="","← Pasirinkite varžybų etapą iš sąrašo",IF(AND(PogrupioReikia,TRIM($G$5)=""),"← Kvalifikacijos etape pasirinkite pogrupį (Rytai / Vakarai)",IF(AND(NOT(PogrupioReikia),TRIM($G$5)&lt;&gt;""),"← Šiam etapui/lygai pogrupio nereikia – ištrinkite lauką","")))</f>
        <v>← Pasirinkite varžybų etapą iš sąrašo</v>
      </c>
    </row>
    <row r="6" spans="1:13" ht="3" customHeight="1" x14ac:dyDescent="0.3"/>
    <row r="7" spans="1:13" ht="22.05" customHeight="1" x14ac:dyDescent="0.3">
      <c r="A7" s="258" t="str">
        <f>IF(Lyga="","← Pasirinkite lygą","Lietuvos boulingo "&amp;Lyga&amp;" lyga"&amp;IF(Pogrupis="",""," ("&amp;Pogrupis&amp;")")&amp;IF(TRIM(Etapas)="",""," – "&amp;TRIM(Etapas)))</f>
        <v>← Pasirinkite lygą</v>
      </c>
      <c r="B7" s="213"/>
      <c r="C7" s="213"/>
      <c r="D7" s="213"/>
      <c r="E7" s="213"/>
      <c r="F7" s="213"/>
      <c r="G7" s="150"/>
    </row>
    <row r="8" spans="1:13" ht="4.05" customHeight="1" x14ac:dyDescent="0.3"/>
    <row r="9" spans="1:13" ht="19.95" customHeight="1" x14ac:dyDescent="0.3">
      <c r="A9" s="235" t="s">
        <v>48</v>
      </c>
      <c r="B9" s="213"/>
      <c r="C9" s="150"/>
      <c r="D9" s="214"/>
      <c r="E9" s="215"/>
      <c r="F9" s="215"/>
      <c r="G9" s="216"/>
      <c r="I9" s="14" t="str">
        <f>IF(NOT(ISNUMBER($D$9)),"← Įveskite rungtynių datą (yyyy-mm-dd)","")</f>
        <v>← Įveskite rungtynių datą (yyyy-mm-dd)</v>
      </c>
    </row>
    <row r="10" spans="1:13" ht="3" customHeight="1" x14ac:dyDescent="0.3"/>
    <row r="11" spans="1:13" ht="19.95" customHeight="1" x14ac:dyDescent="0.3">
      <c r="A11" s="235" t="s">
        <v>49</v>
      </c>
      <c r="B11" s="213"/>
      <c r="C11" s="150"/>
      <c r="D11" s="259"/>
      <c r="E11" s="238"/>
      <c r="F11" s="238"/>
      <c r="G11" s="239"/>
      <c r="I11" s="14" t="str">
        <f>IF($D$11="","← Pasirinkite boulingo centrą iš sąrašo (neradus – įrašykite pavadinimą)","")</f>
        <v>← Pasirinkite boulingo centrą iš sąrašo (neradus – įrašykite pavadinimą)</v>
      </c>
    </row>
    <row r="12" spans="1:13" ht="3" customHeight="1" x14ac:dyDescent="0.3"/>
    <row r="13" spans="1:13" ht="19.95" customHeight="1" x14ac:dyDescent="0.3">
      <c r="A13" s="235" t="s">
        <v>50</v>
      </c>
      <c r="B13" s="213"/>
      <c r="C13" s="150"/>
      <c r="D13" s="259"/>
      <c r="E13" s="238"/>
      <c r="F13" s="238"/>
      <c r="G13" s="239"/>
      <c r="I13" s="14" t="str">
        <f>IF(OR($D$13="",IFERROR(FIND(" ",TRIM($D$13)),0)=0),"← Įrašykite teisėjo vardą ir pavardę","")</f>
        <v>← Įrašykite teisėjo vardą ir pavardę</v>
      </c>
    </row>
    <row r="14" spans="1:13" ht="3" customHeight="1" x14ac:dyDescent="0.3"/>
    <row r="15" spans="1:13" ht="10.050000000000001" customHeight="1" x14ac:dyDescent="0.3">
      <c r="A15" s="260"/>
      <c r="B15" s="213"/>
      <c r="C15" s="150"/>
      <c r="D15" s="32" t="s">
        <v>51</v>
      </c>
      <c r="E15" s="32" t="s">
        <v>52</v>
      </c>
      <c r="F15" s="32" t="s">
        <v>53</v>
      </c>
      <c r="G15" s="32" t="s">
        <v>54</v>
      </c>
    </row>
    <row r="16" spans="1:13" ht="19.95" customHeight="1" x14ac:dyDescent="0.3">
      <c r="A16" s="235" t="s">
        <v>55</v>
      </c>
      <c r="B16" s="213"/>
      <c r="C16" s="150"/>
      <c r="D16" s="33"/>
      <c r="E16" s="33"/>
      <c r="F16" s="33"/>
      <c r="G16" s="33"/>
      <c r="I16" s="14" t="str">
        <f>IF(COUNT($D$16:$G$16)&lt;&gt;4,"← Įrašykite visų 4 takelių numerius",IF(OR($D$16&gt;=$E$16,$E$16&gt;=$F$16,$F$16&gt;=$G$16),"← Takelius surašykite didėjančia tvarka: nuo kairiausio iki dešiniausio",""))</f>
        <v>← Įrašykite visų 4 takelių numerius</v>
      </c>
    </row>
    <row r="17" spans="1:9" ht="4.95" customHeight="1" x14ac:dyDescent="0.3"/>
    <row r="18" spans="1:9" ht="15" customHeight="1" x14ac:dyDescent="0.3">
      <c r="A18" s="244" t="s">
        <v>56</v>
      </c>
      <c r="B18" s="245"/>
      <c r="C18" s="245"/>
      <c r="D18" s="245"/>
      <c r="E18" s="245"/>
      <c r="F18" s="245"/>
      <c r="G18" s="246"/>
    </row>
    <row r="19" spans="1:9" ht="21" customHeight="1" x14ac:dyDescent="0.3">
      <c r="A19" s="225"/>
      <c r="B19" s="226"/>
      <c r="C19" s="226"/>
      <c r="D19" s="226"/>
      <c r="E19" s="226"/>
      <c r="F19" s="226"/>
      <c r="G19" s="227"/>
      <c r="I19" s="14" t="str">
        <f>IF($A$19="","← Pasirinkite komandą iš sąrašo",IF($A$19=$A$32,"← Šeimininkų ir svečių komanda negali būti ta pati",IF(COUNTIF(Komandos_Aktyvios,"?*")=0,"← Šiai lygai/pogrupiui komandų dar nėra – ADMIN_Duomenys lape komandoms nenurodytas pogrupis (Rytai / Vakarai)",IF(COUNTIF(Komandos_Aktyvios,$A$19)=0,"← Ši komanda nepriklauso pasirinktai lygai/pogrupiui – pasirinkite iš naujo",""))))</f>
        <v>← Pasirinkite komandą iš sąrašo</v>
      </c>
    </row>
    <row r="20" spans="1:9" ht="12" customHeight="1" x14ac:dyDescent="0.3">
      <c r="A20" s="247" t="s">
        <v>57</v>
      </c>
      <c r="B20" s="220" t="s">
        <v>7</v>
      </c>
      <c r="C20" s="220" t="s">
        <v>8</v>
      </c>
      <c r="D20" s="222" t="s">
        <v>58</v>
      </c>
      <c r="E20" s="223"/>
      <c r="F20" s="223"/>
      <c r="G20" s="224"/>
      <c r="H20" s="4"/>
    </row>
    <row r="21" spans="1:9" ht="12" customHeight="1" x14ac:dyDescent="0.3">
      <c r="A21" s="248"/>
      <c r="B21" s="113"/>
      <c r="C21" s="113"/>
      <c r="D21" s="119" t="s">
        <v>59</v>
      </c>
      <c r="E21" s="120"/>
      <c r="F21" s="119" t="s">
        <v>60</v>
      </c>
      <c r="G21" s="221"/>
      <c r="H21" s="4"/>
    </row>
    <row r="22" spans="1:9" ht="16.05" customHeight="1" x14ac:dyDescent="0.3">
      <c r="A22" s="34" t="str">
        <f>IF($B22="","",1)</f>
        <v/>
      </c>
      <c r="B22" s="35" t="str">
        <f>IFERROR(INDEX(Zaidejai_Vardas,MATCH(Lyga&amp;"|"&amp;$A$19&amp;"|"&amp;1,Zaidejai_Raktas,0)),"")</f>
        <v/>
      </c>
      <c r="C22" s="36" t="str">
        <f>IFERROR(INDEX(Zaidejai_Hcp,MATCH(Lyga&amp;"|"&amp;$A$19&amp;"|"&amp;1,Zaidejai_Raktas,0)),"")</f>
        <v/>
      </c>
      <c r="D22" s="37" t="str">
        <f t="shared" ref="D22:D29" si="0">IF(OR($B22="",$D$16=""),"","1p "&amp;$D$16&amp;"t")</f>
        <v/>
      </c>
      <c r="E22" s="37" t="str">
        <f t="shared" ref="E22:E29" si="1">IF(OR($B22="",$F$16=""),"","2p "&amp;$F$16&amp;"t")</f>
        <v/>
      </c>
      <c r="F22" s="37" t="str">
        <f t="shared" ref="F22:F29" si="2">IF(OR($B22="",$E$16=""),"","1p "&amp;$E$16&amp;"t")</f>
        <v/>
      </c>
      <c r="G22" s="38" t="str">
        <f t="shared" ref="G22:G29" si="3">IF(OR($B22="",$G$16=""),"","2p "&amp;$G$16&amp;"t")</f>
        <v/>
      </c>
      <c r="H22" s="4"/>
      <c r="I22" s="14" t="str">
        <f>IF($B22&lt;&gt;"","",IF(COUNTIF($B$22:$B$29,"?*")=0,IF(1=1,"← Pasirinkite komandą – sudėtis užsipildys automatiškai",""),IF(AND(1=1,COUNTIF($B$22:$B$29,"?*")&lt;3),"← Komandoje turi būti bent 3 žaidėjai (patikrinkite ADMIN_Duomenys lapą)","")))</f>
        <v>← Pasirinkite komandą – sudėtis užsipildys automatiškai</v>
      </c>
    </row>
    <row r="23" spans="1:9" ht="16.05" customHeight="1" x14ac:dyDescent="0.3">
      <c r="A23" s="34" t="str">
        <f>IF($B23="","",2)</f>
        <v/>
      </c>
      <c r="B23" s="35" t="str">
        <f>IFERROR(INDEX(Zaidejai_Vardas,MATCH(Lyga&amp;"|"&amp;$A$19&amp;"|"&amp;2,Zaidejai_Raktas,0)),"")</f>
        <v/>
      </c>
      <c r="C23" s="36" t="str">
        <f>IFERROR(INDEX(Zaidejai_Hcp,MATCH(Lyga&amp;"|"&amp;$A$19&amp;"|"&amp;2,Zaidejai_Raktas,0)),"")</f>
        <v/>
      </c>
      <c r="D23" s="37" t="str">
        <f t="shared" si="0"/>
        <v/>
      </c>
      <c r="E23" s="37" t="str">
        <f t="shared" si="1"/>
        <v/>
      </c>
      <c r="F23" s="37" t="str">
        <f t="shared" si="2"/>
        <v/>
      </c>
      <c r="G23" s="38" t="str">
        <f t="shared" si="3"/>
        <v/>
      </c>
      <c r="H23" s="4"/>
      <c r="I23" s="14" t="str">
        <f>IF($B23&lt;&gt;"","",IF(COUNTIF($B$22:$B$29,"?*")=0,IF(2=1,"← Pasirinkite komandą – sudėtis užsipildys automatiškai",""),IF(AND(2=1,COUNTIF($B$22:$B$29,"?*")&lt;3),"← Komandoje turi būti bent 3 žaidėjai (patikrinkite ADMIN_Duomenys lapą)","")))</f>
        <v/>
      </c>
    </row>
    <row r="24" spans="1:9" ht="16.05" customHeight="1" x14ac:dyDescent="0.3">
      <c r="A24" s="34" t="str">
        <f>IF($B24="","",3)</f>
        <v/>
      </c>
      <c r="B24" s="35" t="str">
        <f>IFERROR(INDEX(Zaidejai_Vardas,MATCH(Lyga&amp;"|"&amp;$A$19&amp;"|"&amp;3,Zaidejai_Raktas,0)),"")</f>
        <v/>
      </c>
      <c r="C24" s="36" t="str">
        <f>IFERROR(INDEX(Zaidejai_Hcp,MATCH(Lyga&amp;"|"&amp;$A$19&amp;"|"&amp;3,Zaidejai_Raktas,0)),"")</f>
        <v/>
      </c>
      <c r="D24" s="37" t="str">
        <f t="shared" si="0"/>
        <v/>
      </c>
      <c r="E24" s="37" t="str">
        <f t="shared" si="1"/>
        <v/>
      </c>
      <c r="F24" s="37" t="str">
        <f t="shared" si="2"/>
        <v/>
      </c>
      <c r="G24" s="38" t="str">
        <f t="shared" si="3"/>
        <v/>
      </c>
      <c r="H24" s="4"/>
      <c r="I24" s="14" t="str">
        <f>IF($B24&lt;&gt;"","",IF(COUNTIF($B$22:$B$29,"?*")=0,IF(3=1,"← Pasirinkite komandą – sudėtis užsipildys automatiškai",""),IF(AND(3=1,COUNTIF($B$22:$B$29,"?*")&lt;3),"← Komandoje turi būti bent 3 žaidėjai (patikrinkite ADMIN_Duomenys lapą)","")))</f>
        <v/>
      </c>
    </row>
    <row r="25" spans="1:9" ht="16.05" customHeight="1" x14ac:dyDescent="0.3">
      <c r="A25" s="34" t="str">
        <f>IF($B25="","",4)</f>
        <v/>
      </c>
      <c r="B25" s="35" t="str">
        <f>IFERROR(INDEX(Zaidejai_Vardas,MATCH(Lyga&amp;"|"&amp;$A$19&amp;"|"&amp;4,Zaidejai_Raktas,0)),"")</f>
        <v/>
      </c>
      <c r="C25" s="36" t="str">
        <f>IFERROR(INDEX(Zaidejai_Hcp,MATCH(Lyga&amp;"|"&amp;$A$19&amp;"|"&amp;4,Zaidejai_Raktas,0)),"")</f>
        <v/>
      </c>
      <c r="D25" s="37" t="str">
        <f t="shared" si="0"/>
        <v/>
      </c>
      <c r="E25" s="37" t="str">
        <f t="shared" si="1"/>
        <v/>
      </c>
      <c r="F25" s="37" t="str">
        <f t="shared" si="2"/>
        <v/>
      </c>
      <c r="G25" s="38" t="str">
        <f t="shared" si="3"/>
        <v/>
      </c>
      <c r="H25" s="4"/>
      <c r="I25" s="14" t="str">
        <f>IF($B25&lt;&gt;"","",IF(COUNTIF($B$22:$B$29,"?*")=0,IF(4=1,"← Pasirinkite komandą – sudėtis užsipildys automatiškai",""),IF(AND(4=1,COUNTIF($B$22:$B$29,"?*")&lt;3),"← Komandoje turi būti bent 3 žaidėjai (patikrinkite ADMIN_Duomenys lapą)","")))</f>
        <v/>
      </c>
    </row>
    <row r="26" spans="1:9" ht="16.05" customHeight="1" x14ac:dyDescent="0.3">
      <c r="A26" s="34" t="str">
        <f>IF($B26="","",5)</f>
        <v/>
      </c>
      <c r="B26" s="35" t="str">
        <f>IFERROR(INDEX(Zaidejai_Vardas,MATCH(Lyga&amp;"|"&amp;$A$19&amp;"|"&amp;5,Zaidejai_Raktas,0)),"")</f>
        <v/>
      </c>
      <c r="C26" s="36" t="str">
        <f>IFERROR(INDEX(Zaidejai_Hcp,MATCH(Lyga&amp;"|"&amp;$A$19&amp;"|"&amp;5,Zaidejai_Raktas,0)),"")</f>
        <v/>
      </c>
      <c r="D26" s="37" t="str">
        <f t="shared" si="0"/>
        <v/>
      </c>
      <c r="E26" s="37" t="str">
        <f t="shared" si="1"/>
        <v/>
      </c>
      <c r="F26" s="37" t="str">
        <f t="shared" si="2"/>
        <v/>
      </c>
      <c r="G26" s="38" t="str">
        <f t="shared" si="3"/>
        <v/>
      </c>
      <c r="H26" s="4"/>
      <c r="I26" s="14" t="str">
        <f>IF($B26&lt;&gt;"","",IF(COUNTIF($B$22:$B$29,"?*")=0,IF(5=1,"← Pasirinkite komandą – sudėtis užsipildys automatiškai",""),IF(AND(5=1,COUNTIF($B$22:$B$29,"?*")&lt;3),"← Komandoje turi būti bent 3 žaidėjai (patikrinkite ADMIN_Duomenys lapą)","")))</f>
        <v/>
      </c>
    </row>
    <row r="27" spans="1:9" ht="16.05" customHeight="1" x14ac:dyDescent="0.3">
      <c r="A27" s="34" t="str">
        <f>IF($B27="","",6)</f>
        <v/>
      </c>
      <c r="B27" s="35" t="str">
        <f>IFERROR(INDEX(Zaidejai_Vardas,MATCH(Lyga&amp;"|"&amp;$A$19&amp;"|"&amp;6,Zaidejai_Raktas,0)),"")</f>
        <v/>
      </c>
      <c r="C27" s="36" t="str">
        <f>IFERROR(INDEX(Zaidejai_Hcp,MATCH(Lyga&amp;"|"&amp;$A$19&amp;"|"&amp;6,Zaidejai_Raktas,0)),"")</f>
        <v/>
      </c>
      <c r="D27" s="37" t="str">
        <f t="shared" si="0"/>
        <v/>
      </c>
      <c r="E27" s="37" t="str">
        <f t="shared" si="1"/>
        <v/>
      </c>
      <c r="F27" s="37" t="str">
        <f t="shared" si="2"/>
        <v/>
      </c>
      <c r="G27" s="38" t="str">
        <f t="shared" si="3"/>
        <v/>
      </c>
      <c r="H27" s="4"/>
      <c r="I27" s="14" t="str">
        <f>IF($B27&lt;&gt;"","",IF(COUNTIF($B$22:$B$29,"?*")=0,IF(6=1,"← Pasirinkite komandą – sudėtis užsipildys automatiškai",""),IF(AND(6=1,COUNTIF($B$22:$B$29,"?*")&lt;3),"← Komandoje turi būti bent 3 žaidėjai (patikrinkite ADMIN_Duomenys lapą)","")))</f>
        <v/>
      </c>
    </row>
    <row r="28" spans="1:9" ht="16.05" customHeight="1" x14ac:dyDescent="0.3">
      <c r="A28" s="34" t="str">
        <f>IF($B28="","",7)</f>
        <v/>
      </c>
      <c r="B28" s="35" t="str">
        <f>IFERROR(INDEX(Zaidejai_Vardas,MATCH(Lyga&amp;"|"&amp;$A$19&amp;"|"&amp;7,Zaidejai_Raktas,0)),"")</f>
        <v/>
      </c>
      <c r="C28" s="36" t="str">
        <f>IFERROR(INDEX(Zaidejai_Hcp,MATCH(Lyga&amp;"|"&amp;$A$19&amp;"|"&amp;7,Zaidejai_Raktas,0)),"")</f>
        <v/>
      </c>
      <c r="D28" s="37" t="str">
        <f t="shared" si="0"/>
        <v/>
      </c>
      <c r="E28" s="37" t="str">
        <f t="shared" si="1"/>
        <v/>
      </c>
      <c r="F28" s="37" t="str">
        <f t="shared" si="2"/>
        <v/>
      </c>
      <c r="G28" s="38" t="str">
        <f t="shared" si="3"/>
        <v/>
      </c>
      <c r="H28" s="4"/>
      <c r="I28" s="14" t="str">
        <f>IF($B28&lt;&gt;"","",IF(COUNTIF($B$22:$B$29,"?*")=0,IF(7=1,"← Pasirinkite komandą – sudėtis užsipildys automatiškai",""),IF(AND(7=1,COUNTIF($B$22:$B$29,"?*")&lt;3),"← Komandoje turi būti bent 3 žaidėjai (patikrinkite ADMIN_Duomenys lapą)","")))</f>
        <v/>
      </c>
    </row>
    <row r="29" spans="1:9" ht="16.05" customHeight="1" x14ac:dyDescent="0.3">
      <c r="A29" s="39" t="str">
        <f>IF($B29="","",8)</f>
        <v/>
      </c>
      <c r="B29" s="40" t="str">
        <f>IFERROR(INDEX(Zaidejai_Vardas,MATCH(Lyga&amp;"|"&amp;$A$19&amp;"|"&amp;8,Zaidejai_Raktas,0)),"")</f>
        <v/>
      </c>
      <c r="C29" s="41" t="str">
        <f>IFERROR(INDEX(Zaidejai_Hcp,MATCH(Lyga&amp;"|"&amp;$A$19&amp;"|"&amp;8,Zaidejai_Raktas,0)),"")</f>
        <v/>
      </c>
      <c r="D29" s="42" t="str">
        <f t="shared" si="0"/>
        <v/>
      </c>
      <c r="E29" s="42" t="str">
        <f t="shared" si="1"/>
        <v/>
      </c>
      <c r="F29" s="42" t="str">
        <f t="shared" si="2"/>
        <v/>
      </c>
      <c r="G29" s="43" t="str">
        <f t="shared" si="3"/>
        <v/>
      </c>
      <c r="H29" s="4"/>
      <c r="I29" s="14" t="str">
        <f>IF($B29&lt;&gt;"","",IF(COUNTIF($B$22:$B$29,"?*")=0,IF(8=1,"← Pasirinkite komandą – sudėtis užsipildys automatiškai",""),IF(AND(8=1,COUNTIF($B$22:$B$29,"?*")&lt;3),"← Komandoje turi būti bent 3 žaidėjai (patikrinkite ADMIN_Duomenys lapą)","")))</f>
        <v/>
      </c>
    </row>
    <row r="30" spans="1:9" ht="4.95" customHeight="1" x14ac:dyDescent="0.3">
      <c r="A30" s="24"/>
      <c r="B30" s="24"/>
      <c r="C30" s="24"/>
      <c r="D30" s="24"/>
      <c r="E30" s="24"/>
      <c r="F30" s="24"/>
      <c r="G30" s="24"/>
    </row>
    <row r="31" spans="1:9" ht="15" customHeight="1" x14ac:dyDescent="0.3">
      <c r="A31" s="244" t="s">
        <v>61</v>
      </c>
      <c r="B31" s="245"/>
      <c r="C31" s="245"/>
      <c r="D31" s="245"/>
      <c r="E31" s="245"/>
      <c r="F31" s="245"/>
      <c r="G31" s="246"/>
    </row>
    <row r="32" spans="1:9" ht="21" customHeight="1" x14ac:dyDescent="0.3">
      <c r="A32" s="225"/>
      <c r="B32" s="226"/>
      <c r="C32" s="226"/>
      <c r="D32" s="226"/>
      <c r="E32" s="226"/>
      <c r="F32" s="226"/>
      <c r="G32" s="227"/>
      <c r="I32" s="14" t="str">
        <f>IF($A$32="","← Pasirinkite komandą iš sąrašo",IF($A$32=$A$19,"← Šeimininkų ir svečių komanda negali būti ta pati",IF(COUNTIF(Komandos_Aktyvios,"?*")=0,"← Šiai lygai/pogrupiui komandų dar nėra – ADMIN_Duomenys lape komandoms nenurodytas pogrupis (Rytai / Vakarai)",IF(COUNTIF(Komandos_Aktyvios,$A$32)=0,"← Ši komanda nepriklauso pasirinktai lygai/pogrupiui – pasirinkite iš naujo",""))))</f>
        <v>← Pasirinkite komandą iš sąrašo</v>
      </c>
    </row>
    <row r="33" spans="1:9" ht="12" customHeight="1" x14ac:dyDescent="0.3">
      <c r="A33" s="247" t="s">
        <v>57</v>
      </c>
      <c r="B33" s="220" t="s">
        <v>7</v>
      </c>
      <c r="C33" s="220" t="s">
        <v>8</v>
      </c>
      <c r="D33" s="222" t="s">
        <v>58</v>
      </c>
      <c r="E33" s="223"/>
      <c r="F33" s="223"/>
      <c r="G33" s="224"/>
      <c r="H33" s="4"/>
    </row>
    <row r="34" spans="1:9" ht="12" customHeight="1" x14ac:dyDescent="0.3">
      <c r="A34" s="248"/>
      <c r="B34" s="113"/>
      <c r="C34" s="113"/>
      <c r="D34" s="119" t="s">
        <v>59</v>
      </c>
      <c r="E34" s="120"/>
      <c r="F34" s="119" t="s">
        <v>60</v>
      </c>
      <c r="G34" s="221"/>
      <c r="H34" s="4"/>
    </row>
    <row r="35" spans="1:9" ht="16.05" customHeight="1" x14ac:dyDescent="0.3">
      <c r="A35" s="34" t="str">
        <f>IF($B35="","",1)</f>
        <v/>
      </c>
      <c r="B35" s="35" t="str">
        <f>IFERROR(INDEX(Zaidejai_Vardas,MATCH(Lyga&amp;"|"&amp;$A$32&amp;"|"&amp;1,Zaidejai_Raktas,0)),"")</f>
        <v/>
      </c>
      <c r="C35" s="36" t="str">
        <f>IFERROR(INDEX(Zaidejai_Hcp,MATCH(Lyga&amp;"|"&amp;$A$32&amp;"|"&amp;1,Zaidejai_Raktas,0)),"")</f>
        <v/>
      </c>
      <c r="D35" s="37" t="str">
        <f t="shared" ref="D35:D42" si="4">IF(OR($B35="",$E$16=""),"","1p "&amp;$E$16&amp;"t")</f>
        <v/>
      </c>
      <c r="E35" s="37" t="str">
        <f t="shared" ref="E35:E42" si="5">IF(OR($B35="",$G$16=""),"","2p "&amp;$G$16&amp;"t")</f>
        <v/>
      </c>
      <c r="F35" s="37" t="str">
        <f t="shared" ref="F35:F42" si="6">IF(OR($B35="",$D$16=""),"","1p "&amp;$D$16&amp;"t")</f>
        <v/>
      </c>
      <c r="G35" s="38" t="str">
        <f t="shared" ref="G35:G42" si="7">IF(OR($B35="",$F$16=""),"","2p "&amp;$F$16&amp;"t")</f>
        <v/>
      </c>
      <c r="H35" s="4"/>
      <c r="I35" s="14" t="str">
        <f>IF($B35&lt;&gt;"","",IF(COUNTIF($B$35:$B$42,"?*")=0,IF(1=1,"← Pasirinkite komandą – sudėtis užsipildys automatiškai",""),IF(AND(1=1,COUNTIF($B$35:$B$42,"?*")&lt;3),"← Komandoje turi būti bent 3 žaidėjai (patikrinkite ADMIN_Duomenys lapą)","")))</f>
        <v>← Pasirinkite komandą – sudėtis užsipildys automatiškai</v>
      </c>
    </row>
    <row r="36" spans="1:9" ht="16.05" customHeight="1" x14ac:dyDescent="0.3">
      <c r="A36" s="34" t="str">
        <f>IF($B36="","",2)</f>
        <v/>
      </c>
      <c r="B36" s="35" t="str">
        <f>IFERROR(INDEX(Zaidejai_Vardas,MATCH(Lyga&amp;"|"&amp;$A$32&amp;"|"&amp;2,Zaidejai_Raktas,0)),"")</f>
        <v/>
      </c>
      <c r="C36" s="36" t="str">
        <f>IFERROR(INDEX(Zaidejai_Hcp,MATCH(Lyga&amp;"|"&amp;$A$32&amp;"|"&amp;2,Zaidejai_Raktas,0)),"")</f>
        <v/>
      </c>
      <c r="D36" s="37" t="str">
        <f t="shared" si="4"/>
        <v/>
      </c>
      <c r="E36" s="37" t="str">
        <f t="shared" si="5"/>
        <v/>
      </c>
      <c r="F36" s="37" t="str">
        <f t="shared" si="6"/>
        <v/>
      </c>
      <c r="G36" s="38" t="str">
        <f t="shared" si="7"/>
        <v/>
      </c>
      <c r="H36" s="4"/>
      <c r="I36" s="14" t="str">
        <f>IF($B36&lt;&gt;"","",IF(COUNTIF($B$35:$B$42,"?*")=0,IF(2=1,"← Pasirinkite komandą – sudėtis užsipildys automatiškai",""),IF(AND(2=1,COUNTIF($B$35:$B$42,"?*")&lt;3),"← Komandoje turi būti bent 3 žaidėjai (patikrinkite ADMIN_Duomenys lapą)","")))</f>
        <v/>
      </c>
    </row>
    <row r="37" spans="1:9" ht="16.05" customHeight="1" x14ac:dyDescent="0.3">
      <c r="A37" s="34" t="str">
        <f>IF($B37="","",3)</f>
        <v/>
      </c>
      <c r="B37" s="35" t="str">
        <f>IFERROR(INDEX(Zaidejai_Vardas,MATCH(Lyga&amp;"|"&amp;$A$32&amp;"|"&amp;3,Zaidejai_Raktas,0)),"")</f>
        <v/>
      </c>
      <c r="C37" s="36" t="str">
        <f>IFERROR(INDEX(Zaidejai_Hcp,MATCH(Lyga&amp;"|"&amp;$A$32&amp;"|"&amp;3,Zaidejai_Raktas,0)),"")</f>
        <v/>
      </c>
      <c r="D37" s="37" t="str">
        <f t="shared" si="4"/>
        <v/>
      </c>
      <c r="E37" s="37" t="str">
        <f t="shared" si="5"/>
        <v/>
      </c>
      <c r="F37" s="37" t="str">
        <f t="shared" si="6"/>
        <v/>
      </c>
      <c r="G37" s="38" t="str">
        <f t="shared" si="7"/>
        <v/>
      </c>
      <c r="H37" s="4"/>
      <c r="I37" s="14" t="str">
        <f>IF($B37&lt;&gt;"","",IF(COUNTIF($B$35:$B$42,"?*")=0,IF(3=1,"← Pasirinkite komandą – sudėtis užsipildys automatiškai",""),IF(AND(3=1,COUNTIF($B$35:$B$42,"?*")&lt;3),"← Komandoje turi būti bent 3 žaidėjai (patikrinkite ADMIN_Duomenys lapą)","")))</f>
        <v/>
      </c>
    </row>
    <row r="38" spans="1:9" ht="16.05" customHeight="1" x14ac:dyDescent="0.3">
      <c r="A38" s="34" t="str">
        <f>IF($B38="","",4)</f>
        <v/>
      </c>
      <c r="B38" s="35" t="str">
        <f>IFERROR(INDEX(Zaidejai_Vardas,MATCH(Lyga&amp;"|"&amp;$A$32&amp;"|"&amp;4,Zaidejai_Raktas,0)),"")</f>
        <v/>
      </c>
      <c r="C38" s="36" t="str">
        <f>IFERROR(INDEX(Zaidejai_Hcp,MATCH(Lyga&amp;"|"&amp;$A$32&amp;"|"&amp;4,Zaidejai_Raktas,0)),"")</f>
        <v/>
      </c>
      <c r="D38" s="37" t="str">
        <f t="shared" si="4"/>
        <v/>
      </c>
      <c r="E38" s="37" t="str">
        <f t="shared" si="5"/>
        <v/>
      </c>
      <c r="F38" s="37" t="str">
        <f t="shared" si="6"/>
        <v/>
      </c>
      <c r="G38" s="38" t="str">
        <f t="shared" si="7"/>
        <v/>
      </c>
      <c r="H38" s="4"/>
      <c r="I38" s="14" t="str">
        <f>IF($B38&lt;&gt;"","",IF(COUNTIF($B$35:$B$42,"?*")=0,IF(4=1,"← Pasirinkite komandą – sudėtis užsipildys automatiškai",""),IF(AND(4=1,COUNTIF($B$35:$B$42,"?*")&lt;3),"← Komandoje turi būti bent 3 žaidėjai (patikrinkite ADMIN_Duomenys lapą)","")))</f>
        <v/>
      </c>
    </row>
    <row r="39" spans="1:9" ht="16.05" customHeight="1" x14ac:dyDescent="0.3">
      <c r="A39" s="34" t="str">
        <f>IF($B39="","",5)</f>
        <v/>
      </c>
      <c r="B39" s="35" t="str">
        <f>IFERROR(INDEX(Zaidejai_Vardas,MATCH(Lyga&amp;"|"&amp;$A$32&amp;"|"&amp;5,Zaidejai_Raktas,0)),"")</f>
        <v/>
      </c>
      <c r="C39" s="36" t="str">
        <f>IFERROR(INDEX(Zaidejai_Hcp,MATCH(Lyga&amp;"|"&amp;$A$32&amp;"|"&amp;5,Zaidejai_Raktas,0)),"")</f>
        <v/>
      </c>
      <c r="D39" s="37" t="str">
        <f t="shared" si="4"/>
        <v/>
      </c>
      <c r="E39" s="37" t="str">
        <f t="shared" si="5"/>
        <v/>
      </c>
      <c r="F39" s="37" t="str">
        <f t="shared" si="6"/>
        <v/>
      </c>
      <c r="G39" s="38" t="str">
        <f t="shared" si="7"/>
        <v/>
      </c>
      <c r="H39" s="4"/>
      <c r="I39" s="14" t="str">
        <f>IF($B39&lt;&gt;"","",IF(COUNTIF($B$35:$B$42,"?*")=0,IF(5=1,"← Pasirinkite komandą – sudėtis užsipildys automatiškai",""),IF(AND(5=1,COUNTIF($B$35:$B$42,"?*")&lt;3),"← Komandoje turi būti bent 3 žaidėjai (patikrinkite ADMIN_Duomenys lapą)","")))</f>
        <v/>
      </c>
    </row>
    <row r="40" spans="1:9" ht="16.05" customHeight="1" x14ac:dyDescent="0.3">
      <c r="A40" s="34" t="str">
        <f>IF($B40="","",6)</f>
        <v/>
      </c>
      <c r="B40" s="35" t="str">
        <f>IFERROR(INDEX(Zaidejai_Vardas,MATCH(Lyga&amp;"|"&amp;$A$32&amp;"|"&amp;6,Zaidejai_Raktas,0)),"")</f>
        <v/>
      </c>
      <c r="C40" s="36" t="str">
        <f>IFERROR(INDEX(Zaidejai_Hcp,MATCH(Lyga&amp;"|"&amp;$A$32&amp;"|"&amp;6,Zaidejai_Raktas,0)),"")</f>
        <v/>
      </c>
      <c r="D40" s="37" t="str">
        <f t="shared" si="4"/>
        <v/>
      </c>
      <c r="E40" s="37" t="str">
        <f t="shared" si="5"/>
        <v/>
      </c>
      <c r="F40" s="37" t="str">
        <f t="shared" si="6"/>
        <v/>
      </c>
      <c r="G40" s="38" t="str">
        <f t="shared" si="7"/>
        <v/>
      </c>
      <c r="H40" s="4"/>
      <c r="I40" s="14" t="str">
        <f>IF($B40&lt;&gt;"","",IF(COUNTIF($B$35:$B$42,"?*")=0,IF(6=1,"← Pasirinkite komandą – sudėtis užsipildys automatiškai",""),IF(AND(6=1,COUNTIF($B$35:$B$42,"?*")&lt;3),"← Komandoje turi būti bent 3 žaidėjai (patikrinkite ADMIN_Duomenys lapą)","")))</f>
        <v/>
      </c>
    </row>
    <row r="41" spans="1:9" ht="16.05" customHeight="1" x14ac:dyDescent="0.3">
      <c r="A41" s="34" t="str">
        <f>IF($B41="","",7)</f>
        <v/>
      </c>
      <c r="B41" s="35" t="str">
        <f>IFERROR(INDEX(Zaidejai_Vardas,MATCH(Lyga&amp;"|"&amp;$A$32&amp;"|"&amp;7,Zaidejai_Raktas,0)),"")</f>
        <v/>
      </c>
      <c r="C41" s="36" t="str">
        <f>IFERROR(INDEX(Zaidejai_Hcp,MATCH(Lyga&amp;"|"&amp;$A$32&amp;"|"&amp;7,Zaidejai_Raktas,0)),"")</f>
        <v/>
      </c>
      <c r="D41" s="37" t="str">
        <f t="shared" si="4"/>
        <v/>
      </c>
      <c r="E41" s="37" t="str">
        <f t="shared" si="5"/>
        <v/>
      </c>
      <c r="F41" s="37" t="str">
        <f t="shared" si="6"/>
        <v/>
      </c>
      <c r="G41" s="38" t="str">
        <f t="shared" si="7"/>
        <v/>
      </c>
      <c r="H41" s="4"/>
      <c r="I41" s="14" t="str">
        <f>IF($B41&lt;&gt;"","",IF(COUNTIF($B$35:$B$42,"?*")=0,IF(7=1,"← Pasirinkite komandą – sudėtis užsipildys automatiškai",""),IF(AND(7=1,COUNTIF($B$35:$B$42,"?*")&lt;3),"← Komandoje turi būti bent 3 žaidėjai (patikrinkite ADMIN_Duomenys lapą)","")))</f>
        <v/>
      </c>
    </row>
    <row r="42" spans="1:9" ht="16.05" customHeight="1" x14ac:dyDescent="0.3">
      <c r="A42" s="39" t="str">
        <f>IF($B42="","",8)</f>
        <v/>
      </c>
      <c r="B42" s="40" t="str">
        <f>IFERROR(INDEX(Zaidejai_Vardas,MATCH(Lyga&amp;"|"&amp;$A$32&amp;"|"&amp;8,Zaidejai_Raktas,0)),"")</f>
        <v/>
      </c>
      <c r="C42" s="41" t="str">
        <f>IFERROR(INDEX(Zaidejai_Hcp,MATCH(Lyga&amp;"|"&amp;$A$32&amp;"|"&amp;8,Zaidejai_Raktas,0)),"")</f>
        <v/>
      </c>
      <c r="D42" s="42" t="str">
        <f t="shared" si="4"/>
        <v/>
      </c>
      <c r="E42" s="42" t="str">
        <f t="shared" si="5"/>
        <v/>
      </c>
      <c r="F42" s="42" t="str">
        <f t="shared" si="6"/>
        <v/>
      </c>
      <c r="G42" s="43" t="str">
        <f t="shared" si="7"/>
        <v/>
      </c>
      <c r="H42" s="4"/>
      <c r="I42" s="14" t="str">
        <f>IF($B42&lt;&gt;"","",IF(COUNTIF($B$35:$B$42,"?*")=0,IF(8=1,"← Pasirinkite komandą – sudėtis užsipildys automatiškai",""),IF(AND(8=1,COUNTIF($B$35:$B$42,"?*")&lt;3),"← Komandoje turi būti bent 3 žaidėjai (patikrinkite ADMIN_Duomenys lapą)","")))</f>
        <v/>
      </c>
    </row>
    <row r="43" spans="1:9" ht="6" customHeight="1" x14ac:dyDescent="0.3">
      <c r="A43" s="24"/>
      <c r="B43" s="24"/>
      <c r="C43" s="24"/>
      <c r="D43" s="24"/>
      <c r="E43" s="24"/>
      <c r="F43" s="24"/>
      <c r="G43" s="24"/>
    </row>
    <row r="44" spans="1:9" ht="15" customHeight="1" x14ac:dyDescent="0.3">
      <c r="A44" s="241" t="s">
        <v>62</v>
      </c>
      <c r="B44" s="242"/>
      <c r="C44" s="242"/>
      <c r="D44" s="242"/>
      <c r="E44" s="242"/>
      <c r="F44" s="242"/>
      <c r="G44" s="243"/>
    </row>
    <row r="45" spans="1:9" ht="13.05" customHeight="1" x14ac:dyDescent="0.3">
      <c r="A45" s="231" t="s">
        <v>63</v>
      </c>
      <c r="B45" s="223"/>
      <c r="C45" s="240"/>
      <c r="D45" s="231" t="s">
        <v>64</v>
      </c>
      <c r="E45" s="223"/>
      <c r="F45" s="223"/>
      <c r="G45" s="224"/>
      <c r="H45" s="4"/>
    </row>
    <row r="46" spans="1:9" ht="19.95" customHeight="1" x14ac:dyDescent="0.3">
      <c r="A46" s="217"/>
      <c r="B46" s="218"/>
      <c r="C46" s="219"/>
      <c r="D46" s="217"/>
      <c r="E46" s="218"/>
      <c r="F46" s="218"/>
      <c r="G46" s="229"/>
      <c r="H46" s="4"/>
    </row>
    <row r="47" spans="1:9" ht="19.95" customHeight="1" x14ac:dyDescent="0.3">
      <c r="A47" s="217"/>
      <c r="B47" s="218"/>
      <c r="C47" s="219"/>
      <c r="D47" s="217"/>
      <c r="E47" s="218"/>
      <c r="F47" s="218"/>
      <c r="G47" s="229"/>
      <c r="H47" s="4"/>
    </row>
    <row r="48" spans="1:9" ht="19.95" customHeight="1" x14ac:dyDescent="0.3">
      <c r="A48" s="232"/>
      <c r="B48" s="233"/>
      <c r="C48" s="234"/>
      <c r="D48" s="232"/>
      <c r="E48" s="233"/>
      <c r="F48" s="233"/>
      <c r="G48" s="236"/>
      <c r="H48" s="4"/>
    </row>
    <row r="49" spans="1:7" ht="7.95" customHeight="1" x14ac:dyDescent="0.3">
      <c r="A49" s="24"/>
      <c r="B49" s="24"/>
      <c r="C49" s="24"/>
      <c r="D49" s="24"/>
      <c r="E49" s="24"/>
      <c r="F49" s="24"/>
      <c r="G49" s="24"/>
    </row>
    <row r="50" spans="1:7" ht="24" customHeight="1" x14ac:dyDescent="0.3">
      <c r="A50" s="230" t="s">
        <v>63</v>
      </c>
      <c r="B50" s="150"/>
      <c r="C50" s="44"/>
      <c r="D50" s="230" t="s">
        <v>64</v>
      </c>
      <c r="E50" s="150"/>
      <c r="F50" s="228"/>
      <c r="G50" s="228"/>
    </row>
    <row r="51" spans="1:7" ht="10.95" customHeight="1" x14ac:dyDescent="0.3">
      <c r="C51" s="32" t="s">
        <v>65</v>
      </c>
      <c r="F51" s="212" t="s">
        <v>65</v>
      </c>
      <c r="G51" s="150"/>
    </row>
    <row r="52" spans="1:7" ht="7.95" customHeight="1" x14ac:dyDescent="0.3"/>
    <row r="53" spans="1:7" ht="24" customHeight="1" x14ac:dyDescent="0.3">
      <c r="A53" s="235" t="s">
        <v>66</v>
      </c>
      <c r="B53" s="150"/>
      <c r="C53" s="228"/>
      <c r="D53" s="228"/>
      <c r="E53" s="228"/>
    </row>
    <row r="54" spans="1:7" ht="10.95" customHeight="1" x14ac:dyDescent="0.3">
      <c r="C54" s="212" t="s">
        <v>65</v>
      </c>
      <c r="D54" s="213"/>
      <c r="E54" s="150"/>
    </row>
    <row r="55" spans="1:7" ht="6" customHeight="1" x14ac:dyDescent="0.3"/>
  </sheetData>
  <sheetProtection algorithmName="SHA-512" hashValue="uUttiKvHCVbbJULB2LNvh5rSRq2qSg8xgU0UEPblU0rkGJ2rF+GyyirnM3V9GYbQPVMCpnP4qhLitBa2FdG0UA==" saltValue="bZQLadZHJk/Uu8fwXz31LQ==" spinCount="100000" sheet="1" objects="1" scenarios="1" selectLockedCells="1"/>
  <mergeCells count="47">
    <mergeCell ref="C2:F2"/>
    <mergeCell ref="A16:C16"/>
    <mergeCell ref="A1:B3"/>
    <mergeCell ref="D21:E21"/>
    <mergeCell ref="F21:G21"/>
    <mergeCell ref="C3:F3"/>
    <mergeCell ref="D20:G20"/>
    <mergeCell ref="A13:C13"/>
    <mergeCell ref="C1:F1"/>
    <mergeCell ref="A18:G18"/>
    <mergeCell ref="A7:G7"/>
    <mergeCell ref="D11:G11"/>
    <mergeCell ref="D13:G13"/>
    <mergeCell ref="B20:B21"/>
    <mergeCell ref="A15:C15"/>
    <mergeCell ref="A48:C48"/>
    <mergeCell ref="A53:B53"/>
    <mergeCell ref="D48:G48"/>
    <mergeCell ref="A11:C11"/>
    <mergeCell ref="C5:E5"/>
    <mergeCell ref="A45:C45"/>
    <mergeCell ref="D47:G47"/>
    <mergeCell ref="D50:E50"/>
    <mergeCell ref="A44:G44"/>
    <mergeCell ref="A31:G31"/>
    <mergeCell ref="A32:G32"/>
    <mergeCell ref="A33:A34"/>
    <mergeCell ref="A5:B5"/>
    <mergeCell ref="B33:B34"/>
    <mergeCell ref="A9:C9"/>
    <mergeCell ref="A20:A21"/>
    <mergeCell ref="C54:E54"/>
    <mergeCell ref="D9:G9"/>
    <mergeCell ref="A46:C46"/>
    <mergeCell ref="C20:C21"/>
    <mergeCell ref="C33:C34"/>
    <mergeCell ref="D34:E34"/>
    <mergeCell ref="F34:G34"/>
    <mergeCell ref="D33:G33"/>
    <mergeCell ref="A19:G19"/>
    <mergeCell ref="A47:C47"/>
    <mergeCell ref="F51:G51"/>
    <mergeCell ref="F50:G50"/>
    <mergeCell ref="D46:G46"/>
    <mergeCell ref="A50:B50"/>
    <mergeCell ref="D45:G45"/>
    <mergeCell ref="C53:E53"/>
  </mergeCells>
  <conditionalFormatting sqref="A1:B3">
    <cfRule type="expression" dxfId="41" priority="1">
      <formula>Lyga="A"</formula>
    </cfRule>
    <cfRule type="expression" dxfId="40" priority="2">
      <formula>Lyga="B"</formula>
    </cfRule>
    <cfRule type="expression" dxfId="39" priority="3">
      <formula>Lyga="C"</formula>
    </cfRule>
    <cfRule type="expression" dxfId="38" priority="33">
      <formula>$I$1&lt;&gt;""</formula>
    </cfRule>
  </conditionalFormatting>
  <conditionalFormatting sqref="A7:G7">
    <cfRule type="expression" dxfId="37" priority="5">
      <formula>Lyga="A"</formula>
    </cfRule>
    <cfRule type="expression" dxfId="36" priority="6">
      <formula>Lyga="B"</formula>
    </cfRule>
    <cfRule type="expression" dxfId="35" priority="7">
      <formula>Lyga="C"</formula>
    </cfRule>
  </conditionalFormatting>
  <conditionalFormatting sqref="A18:G18">
    <cfRule type="expression" dxfId="34" priority="8">
      <formula>Lyga="A"</formula>
    </cfRule>
    <cfRule type="expression" dxfId="33" priority="9">
      <formula>Lyga="B"</formula>
    </cfRule>
    <cfRule type="expression" dxfId="32" priority="10">
      <formula>Lyga="C"</formula>
    </cfRule>
  </conditionalFormatting>
  <conditionalFormatting sqref="A19:G19">
    <cfRule type="expression" dxfId="31" priority="15">
      <formula>$I$19&lt;&gt;""</formula>
    </cfRule>
  </conditionalFormatting>
  <conditionalFormatting sqref="A20:G21">
    <cfRule type="expression" dxfId="30" priority="11">
      <formula>Lyga="A"</formula>
    </cfRule>
    <cfRule type="expression" dxfId="29" priority="12">
      <formula>Lyga="B"</formula>
    </cfRule>
    <cfRule type="expression" dxfId="28" priority="13">
      <formula>Lyga="C"</formula>
    </cfRule>
  </conditionalFormatting>
  <conditionalFormatting sqref="A31:G31">
    <cfRule type="expression" dxfId="27" priority="18">
      <formula>Lyga="C"</formula>
    </cfRule>
    <cfRule type="expression" dxfId="26" priority="16">
      <formula>Lyga="A"</formula>
    </cfRule>
    <cfRule type="expression" dxfId="25" priority="17">
      <formula>Lyga="B"</formula>
    </cfRule>
  </conditionalFormatting>
  <conditionalFormatting sqref="A32:G32">
    <cfRule type="expression" dxfId="24" priority="23">
      <formula>$I$32&lt;&gt;""</formula>
    </cfRule>
  </conditionalFormatting>
  <conditionalFormatting sqref="A33:G34">
    <cfRule type="expression" dxfId="23" priority="19">
      <formula>Lyga="A"</formula>
    </cfRule>
    <cfRule type="expression" dxfId="22" priority="20">
      <formula>Lyga="B"</formula>
    </cfRule>
    <cfRule type="expression" dxfId="21" priority="21">
      <formula>Lyga="C"</formula>
    </cfRule>
  </conditionalFormatting>
  <conditionalFormatting sqref="A44:G44">
    <cfRule type="expression" dxfId="20" priority="24">
      <formula>Lyga="A"</formula>
    </cfRule>
    <cfRule type="expression" dxfId="19" priority="25">
      <formula>Lyga="B"</formula>
    </cfRule>
    <cfRule type="expression" dxfId="18" priority="26">
      <formula>Lyga="C"</formula>
    </cfRule>
  </conditionalFormatting>
  <conditionalFormatting sqref="A45:G45">
    <cfRule type="expression" dxfId="17" priority="27">
      <formula>Lyga="A"</formula>
    </cfRule>
    <cfRule type="expression" dxfId="16" priority="28">
      <formula>Lyga="B"</formula>
    </cfRule>
    <cfRule type="expression" dxfId="15" priority="29">
      <formula>Lyga="C"</formula>
    </cfRule>
  </conditionalFormatting>
  <conditionalFormatting sqref="C22:C29">
    <cfRule type="expression" dxfId="14" priority="14">
      <formula>C22=0</formula>
    </cfRule>
  </conditionalFormatting>
  <conditionalFormatting sqref="C35:C42">
    <cfRule type="expression" dxfId="13" priority="22">
      <formula>C35=0</formula>
    </cfRule>
  </conditionalFormatting>
  <conditionalFormatting sqref="C5:E5">
    <cfRule type="expression" dxfId="12" priority="34">
      <formula>$I$5&lt;&gt;""</formula>
    </cfRule>
  </conditionalFormatting>
  <conditionalFormatting sqref="D9:G9">
    <cfRule type="expression" dxfId="11" priority="35">
      <formula>$I$9&lt;&gt;""</formula>
    </cfRule>
  </conditionalFormatting>
  <conditionalFormatting sqref="D11:G11">
    <cfRule type="expression" dxfId="10" priority="36">
      <formula>$I$11&lt;&gt;""</formula>
    </cfRule>
  </conditionalFormatting>
  <conditionalFormatting sqref="D13:G13">
    <cfRule type="expression" dxfId="9" priority="37">
      <formula>$I$13&lt;&gt;""</formula>
    </cfRule>
  </conditionalFormatting>
  <conditionalFormatting sqref="D16:G16">
    <cfRule type="expression" dxfId="8" priority="38">
      <formula>$I$16&lt;&gt;""</formula>
    </cfRule>
  </conditionalFormatting>
  <conditionalFormatting sqref="F5:G5">
    <cfRule type="expression" dxfId="7" priority="4">
      <formula>NOT(PogrupioReikia)</formula>
    </cfRule>
  </conditionalFormatting>
  <dataValidations count="7">
    <dataValidation type="list" showErrorMessage="1" errorTitle="Netinkama lyga" error="Pasirinkite A, B arba C." sqref="A1" xr:uid="{00000000-0002-0000-0100-000000000000}">
      <formula1>"A,B,C"</formula1>
    </dataValidation>
    <dataValidation type="list" allowBlank="1" sqref="G5" xr:uid="{00000000-0002-0000-0100-000001000000}">
      <formula1>List_Pogrupiai</formula1>
    </dataValidation>
    <dataValidation type="list" allowBlank="1" sqref="D11:G11" xr:uid="{00000000-0002-0000-0100-000002000000}">
      <formula1>List_BoulingoCentrai</formula1>
    </dataValidation>
    <dataValidation type="list" allowBlank="1" sqref="C5:E5" xr:uid="{00000000-0002-0000-0100-000003000000}">
      <formula1>List_Etapai</formula1>
    </dataValidation>
    <dataValidation type="list" allowBlank="1" sqref="A19:G19 A32:G32" xr:uid="{00000000-0002-0000-0100-000004000000}">
      <formula1>Komandos_Aktyvios</formula1>
    </dataValidation>
    <dataValidation type="date" allowBlank="1" showErrorMessage="1" errorTitle="Netinkama data" error="Įveskite datą, pvz. 2026-10-15." sqref="D9:G9" xr:uid="{00000000-0002-0000-0100-000005000000}">
      <formula1>DATE(2020,1,1)</formula1>
      <formula2>DATE(2100,12,31)</formula2>
    </dataValidation>
    <dataValidation type="whole" allowBlank="1" showErrorMessage="1" errorTitle="Netinkamas takelis" error="Takelio numeris – sveikas skaičius nuo 1 iki 99." sqref="D16:G16" xr:uid="{00000000-0002-0000-0100-000006000000}">
      <formula1>1</formula1>
      <formula2>99</formula2>
    </dataValidation>
  </dataValidations>
  <printOptions horizontalCentered="1"/>
  <pageMargins left="0.24" right="0.24" top="0.35" bottom="0.35" header="0.15" footer="0.15"/>
  <pageSetup paperSize="9" orientation="portrait"/>
  <headerFooter>
    <oddFooter>&amp;L&amp;8 &amp;K808080&amp;"Calibri,Italic"www.lbf-bowling.lt&amp;R&amp;8 &amp;K808080Lapas &amp;P iš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3"/>
  <sheetViews>
    <sheetView showGridLines="0" showRowColHeaders="0" workbookViewId="0">
      <selection activeCell="A32" sqref="A32"/>
    </sheetView>
  </sheetViews>
  <sheetFormatPr defaultRowHeight="14.4" x14ac:dyDescent="0.3"/>
  <cols>
    <col min="1" max="1" width="9" customWidth="1"/>
    <col min="2" max="3" width="15" customWidth="1"/>
    <col min="4" max="4" width="2" customWidth="1"/>
    <col min="5" max="6" width="15" customWidth="1"/>
    <col min="7" max="7" width="2" customWidth="1"/>
    <col min="8" max="9" width="15" customWidth="1"/>
    <col min="10" max="11" width="2" customWidth="1"/>
  </cols>
  <sheetData>
    <row r="1" spans="1:10" ht="28.05" customHeight="1" x14ac:dyDescent="0.3">
      <c r="A1" s="261" t="s">
        <v>67</v>
      </c>
      <c r="B1" s="245"/>
      <c r="C1" s="245"/>
      <c r="D1" s="245"/>
      <c r="E1" s="245"/>
      <c r="F1" s="245"/>
      <c r="G1" s="245"/>
      <c r="H1" s="245"/>
      <c r="I1" s="245"/>
      <c r="J1" s="246"/>
    </row>
    <row r="2" spans="1:10" ht="31.95" customHeight="1" x14ac:dyDescent="0.3"/>
    <row r="3" spans="1:10" ht="15" customHeight="1" x14ac:dyDescent="0.3">
      <c r="A3" s="45" t="s">
        <v>68</v>
      </c>
    </row>
    <row r="4" spans="1:10" ht="96" customHeight="1" x14ac:dyDescent="0.3">
      <c r="A4" s="277" t="s">
        <v>69</v>
      </c>
      <c r="B4" s="185"/>
      <c r="C4" s="185"/>
      <c r="D4" s="185"/>
      <c r="E4" s="185"/>
      <c r="F4" s="185"/>
      <c r="G4" s="185"/>
      <c r="H4" s="185"/>
      <c r="I4" s="185"/>
      <c r="J4" s="138"/>
    </row>
    <row r="5" spans="1:10" ht="7.95" customHeight="1" x14ac:dyDescent="0.3"/>
    <row r="6" spans="1:10" ht="15" customHeight="1" x14ac:dyDescent="0.3"/>
    <row r="7" spans="1:10" ht="19.95" customHeight="1" x14ac:dyDescent="0.3">
      <c r="A7" s="269" t="s">
        <v>16</v>
      </c>
      <c r="B7" s="119" t="s">
        <v>70</v>
      </c>
      <c r="C7" s="120"/>
      <c r="E7" s="119" t="s">
        <v>70</v>
      </c>
      <c r="F7" s="120"/>
      <c r="H7" s="175" t="s">
        <v>71</v>
      </c>
      <c r="I7" s="176"/>
    </row>
    <row r="8" spans="1:10" ht="15" customHeight="1" x14ac:dyDescent="0.3">
      <c r="A8" s="270"/>
      <c r="B8" s="46" t="str">
        <f>IF(Protokolas!$D$16="","1 takas",Protokolas!$D$16&amp;" takas")</f>
        <v>1 takas</v>
      </c>
      <c r="C8" s="46" t="str">
        <f>IF(Protokolas!$E$16="","2 takas",Protokolas!$E$16&amp;" takas")</f>
        <v>2 takas</v>
      </c>
      <c r="D8" s="3"/>
      <c r="E8" s="46" t="str">
        <f>IF(Protokolas!$F$16="","3 takas",Protokolas!$F$16&amp;" takas")</f>
        <v>3 takas</v>
      </c>
      <c r="F8" s="46" t="str">
        <f>IF(Protokolas!$G$16="","4 takas",Protokolas!$G$16&amp;" takas")</f>
        <v>4 takas</v>
      </c>
      <c r="G8" s="3"/>
      <c r="H8" s="265"/>
      <c r="I8" s="266"/>
    </row>
    <row r="9" spans="1:10" ht="16.05" customHeight="1" x14ac:dyDescent="0.3">
      <c r="A9" s="262">
        <v>1</v>
      </c>
      <c r="B9" s="47" t="s">
        <v>72</v>
      </c>
      <c r="C9" s="47" t="s">
        <v>72</v>
      </c>
      <c r="D9" s="48"/>
      <c r="E9" s="49" t="s">
        <v>73</v>
      </c>
      <c r="F9" s="49" t="s">
        <v>73</v>
      </c>
      <c r="G9" s="48"/>
      <c r="H9" s="271" t="s">
        <v>74</v>
      </c>
      <c r="I9" s="272"/>
      <c r="J9" s="4"/>
    </row>
    <row r="10" spans="1:10" ht="16.05" customHeight="1" x14ac:dyDescent="0.3">
      <c r="A10" s="263"/>
      <c r="B10" s="50" t="s">
        <v>75</v>
      </c>
      <c r="C10" s="50" t="s">
        <v>76</v>
      </c>
      <c r="D10" s="51"/>
      <c r="E10" s="50" t="s">
        <v>77</v>
      </c>
      <c r="F10" s="50" t="s">
        <v>78</v>
      </c>
      <c r="G10" s="51"/>
      <c r="H10" s="273"/>
      <c r="I10" s="274"/>
      <c r="J10" s="4"/>
    </row>
    <row r="11" spans="1:10" ht="16.05" customHeight="1" x14ac:dyDescent="0.3">
      <c r="A11" s="264"/>
      <c r="B11" s="52" t="s">
        <v>79</v>
      </c>
      <c r="C11" s="52" t="s">
        <v>80</v>
      </c>
      <c r="D11" s="53"/>
      <c r="E11" s="52" t="s">
        <v>81</v>
      </c>
      <c r="F11" s="52" t="s">
        <v>82</v>
      </c>
      <c r="G11" s="53"/>
      <c r="H11" s="275"/>
      <c r="I11" s="276"/>
      <c r="J11" s="4"/>
    </row>
    <row r="12" spans="1:10" x14ac:dyDescent="0.3">
      <c r="A12" s="23"/>
      <c r="B12" s="23"/>
      <c r="C12" s="23"/>
      <c r="D12" s="23"/>
      <c r="E12" s="23"/>
      <c r="F12" s="23"/>
      <c r="G12" s="23"/>
      <c r="H12" s="23"/>
      <c r="I12" s="23"/>
    </row>
    <row r="13" spans="1:10" ht="16.05" customHeight="1" x14ac:dyDescent="0.3">
      <c r="A13" s="262">
        <v>2</v>
      </c>
      <c r="B13" s="47" t="s">
        <v>72</v>
      </c>
      <c r="C13" s="49" t="s">
        <v>73</v>
      </c>
      <c r="D13" s="48"/>
      <c r="E13" s="49" t="s">
        <v>73</v>
      </c>
      <c r="F13" s="47" t="s">
        <v>72</v>
      </c>
      <c r="G13" s="48"/>
      <c r="H13" s="271" t="s">
        <v>74</v>
      </c>
      <c r="I13" s="272"/>
      <c r="J13" s="4"/>
    </row>
    <row r="14" spans="1:10" ht="16.05" customHeight="1" x14ac:dyDescent="0.3">
      <c r="A14" s="263"/>
      <c r="B14" s="50" t="s">
        <v>76</v>
      </c>
      <c r="C14" s="50" t="s">
        <v>77</v>
      </c>
      <c r="D14" s="51"/>
      <c r="E14" s="50" t="s">
        <v>78</v>
      </c>
      <c r="F14" s="50" t="s">
        <v>75</v>
      </c>
      <c r="G14" s="51"/>
      <c r="H14" s="273"/>
      <c r="I14" s="274"/>
      <c r="J14" s="4"/>
    </row>
    <row r="15" spans="1:10" ht="16.05" customHeight="1" x14ac:dyDescent="0.3">
      <c r="A15" s="264"/>
      <c r="B15" s="52" t="s">
        <v>80</v>
      </c>
      <c r="C15" s="52" t="s">
        <v>81</v>
      </c>
      <c r="D15" s="53"/>
      <c r="E15" s="52" t="s">
        <v>82</v>
      </c>
      <c r="F15" s="52" t="s">
        <v>79</v>
      </c>
      <c r="G15" s="53"/>
      <c r="H15" s="275"/>
      <c r="I15" s="276"/>
      <c r="J15" s="4"/>
    </row>
    <row r="16" spans="1:10" x14ac:dyDescent="0.3">
      <c r="A16" s="23"/>
      <c r="B16" s="23"/>
      <c r="C16" s="23"/>
      <c r="D16" s="23"/>
      <c r="E16" s="23"/>
      <c r="F16" s="23"/>
      <c r="G16" s="23"/>
      <c r="H16" s="23"/>
      <c r="I16" s="23"/>
    </row>
    <row r="17" spans="1:10" ht="16.05" customHeight="1" x14ac:dyDescent="0.3">
      <c r="A17" s="262">
        <v>3</v>
      </c>
      <c r="B17" s="49" t="s">
        <v>73</v>
      </c>
      <c r="C17" s="49" t="s">
        <v>73</v>
      </c>
      <c r="D17" s="48"/>
      <c r="E17" s="47" t="s">
        <v>72</v>
      </c>
      <c r="F17" s="47" t="s">
        <v>72</v>
      </c>
      <c r="G17" s="48"/>
      <c r="H17" s="271" t="s">
        <v>74</v>
      </c>
      <c r="I17" s="272"/>
      <c r="J17" s="4"/>
    </row>
    <row r="18" spans="1:10" ht="16.05" customHeight="1" x14ac:dyDescent="0.3">
      <c r="A18" s="263"/>
      <c r="B18" s="50" t="s">
        <v>77</v>
      </c>
      <c r="C18" s="50" t="s">
        <v>78</v>
      </c>
      <c r="D18" s="51"/>
      <c r="E18" s="50" t="s">
        <v>75</v>
      </c>
      <c r="F18" s="50" t="s">
        <v>76</v>
      </c>
      <c r="G18" s="51"/>
      <c r="H18" s="273"/>
      <c r="I18" s="274"/>
      <c r="J18" s="4"/>
    </row>
    <row r="19" spans="1:10" ht="16.05" customHeight="1" x14ac:dyDescent="0.3">
      <c r="A19" s="264"/>
      <c r="B19" s="52" t="s">
        <v>81</v>
      </c>
      <c r="C19" s="52" t="s">
        <v>82</v>
      </c>
      <c r="D19" s="53"/>
      <c r="E19" s="52" t="s">
        <v>79</v>
      </c>
      <c r="F19" s="52" t="s">
        <v>80</v>
      </c>
      <c r="G19" s="53"/>
      <c r="H19" s="275"/>
      <c r="I19" s="276"/>
      <c r="J19" s="4"/>
    </row>
    <row r="20" spans="1:10" ht="10.050000000000001" customHeight="1" x14ac:dyDescent="0.3">
      <c r="A20" s="24"/>
      <c r="B20" s="24"/>
      <c r="C20" s="24"/>
      <c r="D20" s="24"/>
      <c r="E20" s="24"/>
      <c r="F20" s="24"/>
      <c r="G20" s="24"/>
      <c r="H20" s="24"/>
      <c r="I20" s="24"/>
    </row>
    <row r="21" spans="1:10" ht="64.05" customHeight="1" x14ac:dyDescent="0.3">
      <c r="A21" s="267" t="s">
        <v>83</v>
      </c>
      <c r="B21" s="268"/>
      <c r="C21" s="268"/>
      <c r="D21" s="268"/>
      <c r="E21" s="268"/>
      <c r="F21" s="268"/>
      <c r="G21" s="268"/>
      <c r="H21" s="268"/>
      <c r="I21" s="268"/>
      <c r="J21" s="138"/>
    </row>
    <row r="22" spans="1:10" ht="16.05" customHeight="1" x14ac:dyDescent="0.3">
      <c r="A22" s="262">
        <v>4</v>
      </c>
      <c r="B22" s="47" t="s">
        <v>72</v>
      </c>
      <c r="C22" s="47" t="s">
        <v>72</v>
      </c>
      <c r="D22" s="48"/>
      <c r="E22" s="49" t="s">
        <v>73</v>
      </c>
      <c r="F22" s="49" t="s">
        <v>73</v>
      </c>
      <c r="G22" s="48"/>
      <c r="H22" s="271" t="s">
        <v>74</v>
      </c>
      <c r="I22" s="272"/>
      <c r="J22" s="4"/>
    </row>
    <row r="23" spans="1:10" ht="16.05" customHeight="1" x14ac:dyDescent="0.3">
      <c r="A23" s="263"/>
      <c r="B23" s="50" t="s">
        <v>76</v>
      </c>
      <c r="C23" s="50" t="s">
        <v>75</v>
      </c>
      <c r="D23" s="51"/>
      <c r="E23" s="50" t="s">
        <v>78</v>
      </c>
      <c r="F23" s="50" t="s">
        <v>77</v>
      </c>
      <c r="G23" s="51"/>
      <c r="H23" s="273"/>
      <c r="I23" s="274"/>
      <c r="J23" s="4"/>
    </row>
    <row r="24" spans="1:10" ht="16.05" customHeight="1" x14ac:dyDescent="0.3">
      <c r="A24" s="264"/>
      <c r="B24" s="52" t="s">
        <v>80</v>
      </c>
      <c r="C24" s="52" t="s">
        <v>79</v>
      </c>
      <c r="D24" s="53"/>
      <c r="E24" s="52" t="s">
        <v>82</v>
      </c>
      <c r="F24" s="52" t="s">
        <v>81</v>
      </c>
      <c r="G24" s="53"/>
      <c r="H24" s="275"/>
      <c r="I24" s="276"/>
      <c r="J24" s="4"/>
    </row>
    <row r="25" spans="1:10" ht="7.95" customHeight="1" x14ac:dyDescent="0.3">
      <c r="A25" s="23"/>
      <c r="B25" s="23"/>
      <c r="C25" s="23"/>
      <c r="D25" s="23"/>
      <c r="E25" s="23"/>
      <c r="F25" s="23"/>
      <c r="G25" s="23"/>
      <c r="H25" s="23"/>
      <c r="I25" s="23"/>
    </row>
    <row r="26" spans="1:10" ht="16.05" customHeight="1" x14ac:dyDescent="0.3">
      <c r="A26" s="262">
        <v>5</v>
      </c>
      <c r="B26" s="49" t="s">
        <v>73</v>
      </c>
      <c r="C26" s="47" t="s">
        <v>72</v>
      </c>
      <c r="D26" s="48"/>
      <c r="E26" s="47" t="s">
        <v>72</v>
      </c>
      <c r="F26" s="49" t="s">
        <v>73</v>
      </c>
      <c r="G26" s="48"/>
      <c r="H26" s="271" t="s">
        <v>74</v>
      </c>
      <c r="I26" s="272"/>
      <c r="J26" s="4"/>
    </row>
    <row r="27" spans="1:10" ht="16.05" customHeight="1" x14ac:dyDescent="0.3">
      <c r="A27" s="263"/>
      <c r="B27" s="50" t="s">
        <v>77</v>
      </c>
      <c r="C27" s="50" t="s">
        <v>76</v>
      </c>
      <c r="D27" s="51"/>
      <c r="E27" s="50" t="s">
        <v>75</v>
      </c>
      <c r="F27" s="50" t="s">
        <v>78</v>
      </c>
      <c r="G27" s="51"/>
      <c r="H27" s="273"/>
      <c r="I27" s="274"/>
      <c r="J27" s="4"/>
    </row>
    <row r="28" spans="1:10" ht="16.05" customHeight="1" x14ac:dyDescent="0.3">
      <c r="A28" s="264"/>
      <c r="B28" s="52" t="s">
        <v>81</v>
      </c>
      <c r="C28" s="52" t="s">
        <v>80</v>
      </c>
      <c r="D28" s="53"/>
      <c r="E28" s="52" t="s">
        <v>79</v>
      </c>
      <c r="F28" s="52" t="s">
        <v>82</v>
      </c>
      <c r="G28" s="53"/>
      <c r="H28" s="275"/>
      <c r="I28" s="276"/>
      <c r="J28" s="4"/>
    </row>
    <row r="29" spans="1:10" x14ac:dyDescent="0.3">
      <c r="A29" s="24"/>
      <c r="B29" s="24"/>
      <c r="C29" s="24"/>
      <c r="D29" s="24"/>
      <c r="E29" s="24"/>
      <c r="F29" s="24"/>
      <c r="G29" s="24"/>
      <c r="H29" s="24"/>
      <c r="I29" s="24"/>
    </row>
    <row r="31" spans="1:10" ht="10.050000000000001" customHeight="1" x14ac:dyDescent="0.3"/>
    <row r="32" spans="1:10" ht="15" customHeight="1" x14ac:dyDescent="0.3">
      <c r="A32" s="45" t="s">
        <v>84</v>
      </c>
    </row>
    <row r="33" spans="1:10" ht="100.05" customHeight="1" x14ac:dyDescent="0.3">
      <c r="A33" s="277" t="s">
        <v>85</v>
      </c>
      <c r="B33" s="185"/>
      <c r="C33" s="185"/>
      <c r="D33" s="185"/>
      <c r="E33" s="185"/>
      <c r="F33" s="185"/>
      <c r="G33" s="185"/>
      <c r="H33" s="185"/>
      <c r="I33" s="185"/>
      <c r="J33" s="138"/>
    </row>
  </sheetData>
  <sheetProtection algorithmName="SHA-512" hashValue="ylnL8o+lvxkI+CJSX3GercInpZiev3j7l7zwPzzoQ0dDYMWNi95PWnluuRQNyaufyxwzoCdUJY+JVCQOI1d5iQ==" saltValue="5Nxxfik/k34g/QfBsHpuXw==" spinCount="100000" sheet="1" objects="1" scenarios="1" selectLockedCells="1"/>
  <mergeCells count="18">
    <mergeCell ref="A33:J33"/>
    <mergeCell ref="H17:I19"/>
    <mergeCell ref="H26:I28"/>
    <mergeCell ref="A22:A24"/>
    <mergeCell ref="H22:I24"/>
    <mergeCell ref="A1:J1"/>
    <mergeCell ref="B7:C7"/>
    <mergeCell ref="A26:A28"/>
    <mergeCell ref="E7:F7"/>
    <mergeCell ref="A17:A19"/>
    <mergeCell ref="H7:I8"/>
    <mergeCell ref="A21:J21"/>
    <mergeCell ref="A7:A8"/>
    <mergeCell ref="H13:I15"/>
    <mergeCell ref="A4:J4"/>
    <mergeCell ref="H9:I11"/>
    <mergeCell ref="A9:A11"/>
    <mergeCell ref="A13:A15"/>
  </mergeCells>
  <conditionalFormatting sqref="A7:I8">
    <cfRule type="expression" dxfId="6" priority="4">
      <formula>Lyga="A"</formula>
    </cfRule>
    <cfRule type="expression" dxfId="5" priority="5">
      <formula>Lyga="B"</formula>
    </cfRule>
    <cfRule type="expression" dxfId="4" priority="6">
      <formula>Lyga="C"</formula>
    </cfRule>
  </conditionalFormatting>
  <conditionalFormatting sqref="A1:J1">
    <cfRule type="expression" dxfId="3" priority="1">
      <formula>Lyga="A"</formula>
    </cfRule>
    <cfRule type="expression" dxfId="2" priority="2">
      <formula>Lyga="B"</formula>
    </cfRule>
    <cfRule type="expression" dxfId="1" priority="3">
      <formula>Lyga="C"</formula>
    </cfRule>
  </conditionalFormatting>
  <printOptions horizontalCentered="1"/>
  <pageMargins left="0.24" right="0.24" top="0.35" bottom="0.35" header="0.15" footer="0.15"/>
  <pageSetup paperSize="9" fitToHeight="0" orientation="portrait"/>
  <headerFooter>
    <oddFooter>&amp;L&amp;8 &amp;K808080&amp;"Calibri,Italic"www.lbf-bowling.lt&amp;R&amp;8 &amp;K808080Lapas &amp;P iš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605"/>
  <sheetViews>
    <sheetView showGridLines="0" zoomScale="90" workbookViewId="0">
      <pane ySplit="4" topLeftCell="A5" activePane="bottomLeft" state="frozen"/>
      <selection activeCell="A32" sqref="A32:G32"/>
      <selection pane="bottomLeft" activeCell="D30" sqref="D30"/>
    </sheetView>
  </sheetViews>
  <sheetFormatPr defaultRowHeight="14.4" x14ac:dyDescent="0.3"/>
  <cols>
    <col min="1" max="1" width="7" customWidth="1"/>
    <col min="2" max="2" width="26" customWidth="1"/>
    <col min="3" max="3" width="15" customWidth="1"/>
    <col min="4" max="4" width="18" customWidth="1"/>
    <col min="5" max="5" width="6" customWidth="1"/>
    <col min="6" max="6" width="11" customWidth="1"/>
    <col min="7" max="7" width="38" customWidth="1"/>
    <col min="8" max="8" width="6" hidden="1" customWidth="1"/>
    <col min="9" max="9" width="26" hidden="1" customWidth="1"/>
    <col min="10" max="10" width="30" hidden="1" customWidth="1"/>
    <col min="11" max="11" width="44" customWidth="1"/>
    <col min="12" max="12" width="34" customWidth="1"/>
    <col min="13" max="13" width="2" hidden="1" customWidth="1"/>
    <col min="14" max="16" width="4" hidden="1" customWidth="1"/>
    <col min="17" max="17" width="2" hidden="1" customWidth="1"/>
    <col min="18" max="18" width="18" customWidth="1"/>
    <col min="19" max="19" width="15" customWidth="1"/>
    <col min="20" max="20" width="26" hidden="1" customWidth="1"/>
    <col min="21" max="21" width="26" customWidth="1"/>
    <col min="22" max="22" width="6" hidden="1" customWidth="1"/>
    <col min="23" max="23" width="22" hidden="1" customWidth="1"/>
    <col min="24" max="24" width="6" hidden="1" customWidth="1"/>
    <col min="25" max="25" width="22" hidden="1" customWidth="1"/>
    <col min="26" max="26" width="6" hidden="1" customWidth="1"/>
    <col min="27" max="27" width="22" hidden="1" customWidth="1"/>
    <col min="28" max="28" width="6" hidden="1" customWidth="1"/>
    <col min="29" max="29" width="22" hidden="1" customWidth="1"/>
    <col min="30" max="30" width="2" hidden="1" customWidth="1"/>
    <col min="31" max="31" width="24" hidden="1" customWidth="1"/>
    <col min="32" max="32" width="2" hidden="1" customWidth="1"/>
    <col min="33" max="36" width="9" hidden="1" customWidth="1"/>
    <col min="37" max="37" width="2" hidden="1" customWidth="1"/>
    <col min="38" max="38" width="3" hidden="1" customWidth="1"/>
  </cols>
  <sheetData>
    <row r="1" spans="1:40" ht="24" customHeight="1" x14ac:dyDescent="0.3">
      <c r="A1" s="284" t="s">
        <v>86</v>
      </c>
      <c r="B1" s="245"/>
      <c r="C1" s="245"/>
      <c r="D1" s="245"/>
      <c r="E1" s="245"/>
      <c r="F1" s="246"/>
    </row>
    <row r="2" spans="1:40" ht="18" customHeight="1" x14ac:dyDescent="0.3">
      <c r="A2" s="54" t="s">
        <v>87</v>
      </c>
      <c r="B2" s="282" t="s">
        <v>88</v>
      </c>
      <c r="C2" s="283"/>
      <c r="D2" s="288" t="str">
        <f>"▼ Naujus žaidėjus rašykite nuo eilutės  "&amp;IFERROR(LOOKUP(2,1/($C$5:$C$604&lt;&gt;""),ROW($C$5:$C$604))+1,5)&amp;"   (Ctrl+G → įrašykite A"&amp;IFERROR(LOOKUP(2,1/($C$5:$C$604&lt;&gt;""),ROW($C$5:$C$604))+1,5)&amp;" → Enter)"</f>
        <v>▼ Naujus žaidėjus rašykite nuo eilutės  226   (Ctrl+G → įrašykite A226 → Enter)</v>
      </c>
      <c r="E2" s="213"/>
      <c r="F2" s="213"/>
      <c r="G2" s="150"/>
    </row>
    <row r="3" spans="1:40" ht="42" customHeight="1" x14ac:dyDescent="0.3">
      <c r="A3" s="285" t="s">
        <v>89</v>
      </c>
      <c r="B3" s="286"/>
      <c r="C3" s="286"/>
      <c r="D3" s="286"/>
      <c r="E3" s="286"/>
      <c r="F3" s="287"/>
      <c r="G3" s="3"/>
      <c r="H3" s="3"/>
      <c r="I3" s="3"/>
      <c r="J3" s="3"/>
      <c r="K3" s="3"/>
      <c r="L3" s="3"/>
      <c r="R3" s="3"/>
      <c r="S3" s="3"/>
      <c r="T3" s="3"/>
      <c r="U3" s="3"/>
      <c r="W3" s="278" t="s">
        <v>90</v>
      </c>
      <c r="X3" s="279"/>
      <c r="Y3" s="280"/>
      <c r="Z3" s="279"/>
      <c r="AA3" s="280"/>
      <c r="AB3" s="280"/>
      <c r="AC3" s="281"/>
      <c r="AE3" s="3"/>
      <c r="AG3" s="119" t="s">
        <v>91</v>
      </c>
      <c r="AH3" s="171"/>
      <c r="AI3" s="171"/>
      <c r="AJ3" s="120"/>
    </row>
    <row r="4" spans="1:40" ht="24" customHeight="1" x14ac:dyDescent="0.3">
      <c r="A4" s="55" t="s">
        <v>92</v>
      </c>
      <c r="B4" s="56" t="s">
        <v>93</v>
      </c>
      <c r="C4" s="56" t="s">
        <v>94</v>
      </c>
      <c r="D4" s="56" t="s">
        <v>95</v>
      </c>
      <c r="E4" s="56" t="s">
        <v>8</v>
      </c>
      <c r="F4" s="56" t="s">
        <v>96</v>
      </c>
      <c r="G4" s="56" t="s">
        <v>97</v>
      </c>
      <c r="H4" s="57" t="s">
        <v>57</v>
      </c>
      <c r="I4" s="57" t="s">
        <v>98</v>
      </c>
      <c r="J4" s="57" t="s">
        <v>99</v>
      </c>
      <c r="K4" s="57" t="s">
        <v>100</v>
      </c>
      <c r="L4" s="58" t="s">
        <v>101</v>
      </c>
      <c r="M4" s="4"/>
      <c r="N4" s="59" t="s">
        <v>102</v>
      </c>
      <c r="O4" s="59" t="s">
        <v>103</v>
      </c>
      <c r="P4" s="59" t="s">
        <v>104</v>
      </c>
      <c r="Q4" s="60"/>
      <c r="R4" s="61" t="s">
        <v>105</v>
      </c>
      <c r="S4" s="57" t="s">
        <v>106</v>
      </c>
      <c r="T4" s="62" t="s">
        <v>107</v>
      </c>
      <c r="U4" s="63" t="s">
        <v>108</v>
      </c>
      <c r="V4" s="64"/>
      <c r="W4" s="65" t="s">
        <v>109</v>
      </c>
      <c r="X4" s="64"/>
      <c r="Y4" s="65" t="s">
        <v>110</v>
      </c>
      <c r="Z4" s="64"/>
      <c r="AA4" s="66" t="s">
        <v>111</v>
      </c>
      <c r="AB4" s="67" t="s">
        <v>112</v>
      </c>
      <c r="AC4" s="68" t="s">
        <v>113</v>
      </c>
      <c r="AD4" s="64"/>
      <c r="AE4" s="63" t="s">
        <v>114</v>
      </c>
      <c r="AF4" s="4"/>
      <c r="AG4" s="69" t="s">
        <v>115</v>
      </c>
      <c r="AH4" s="69" t="s">
        <v>116</v>
      </c>
      <c r="AI4" s="69" t="s">
        <v>117</v>
      </c>
      <c r="AJ4" s="69" t="s">
        <v>118</v>
      </c>
      <c r="AN4" s="59" t="s">
        <v>119</v>
      </c>
    </row>
    <row r="5" spans="1:40" x14ac:dyDescent="0.3">
      <c r="A5" s="70" t="s">
        <v>42</v>
      </c>
      <c r="B5" s="71" t="s">
        <v>120</v>
      </c>
      <c r="C5" s="71" t="s">
        <v>121</v>
      </c>
      <c r="D5" s="71" t="s">
        <v>122</v>
      </c>
      <c r="E5" s="72">
        <v>0</v>
      </c>
      <c r="F5" s="73"/>
      <c r="G5" s="74"/>
      <c r="H5" s="75">
        <f t="shared" ref="H5:H68" si="0">IF(OR($A5="",$B5="",$I5=""),"",SUMPRODUCT(($A$5:$A$604=$A5)*($B$5:$B$604=$B5)*($I$5:$I$604&lt;&gt;"")*($I$5:$I$604&lt;$I5))+SUMPRODUCT(($A$5:$A$604=$A5)*($B$5:$B$604=$B5)*($I$5:$I$604=$I5)*(ROW($I$5:$I$604)&lt;=ROW($I5))))</f>
        <v>4</v>
      </c>
      <c r="I5" s="16" t="str">
        <f t="shared" ref="I5:I68" si="1">IF(TRIM($C5&amp;$D5)="","",PROPER(TRIM($C5))&amp;" "&amp;UPPER(TRIM($D5)))</f>
        <v>Nerijus AKOCKAS</v>
      </c>
      <c r="J5" s="76" t="str">
        <f t="shared" ref="J5:J68" si="2">IF(OR($A5="",$B5="",$H5=""),"",$A5&amp;"|"&amp;$B5&amp;"|"&amp;$H5)</f>
        <v>A|ACTION!|4</v>
      </c>
      <c r="K5" s="77" t="str">
        <f t="shared" ref="K5:K68" si="3">IF(COUNTA($A5:$E5)=0,"",IF($A5="","← Nurodykite lygą (A / B / C)",IF($B5="","← Nurodykite komandą",IF(TRIM($C5)="","← Nurodykite vardą",IF(TRIM($D5)="","← Nurodykite pavardę",IF(NOT(ISNUMBER($E5)),"← Nurodykite Hcp (jei neturi – 0)",IF(AND(OR($A5="B",$A5="C"),NOT(OR($F5="Rytai",$F5="Vakarai"))),"← Nurodykite pogrupį (Rytai / Vakarai)",IF(AND($A5="A",OR($F5="Rytai",$F5="Vakarai")),"← A lygos komandos į pogrupius neskirstomos",IF(COUNTIFS($A$5:$A$604,$A5,$B$5:$B$604,$B5,$F$5:$F$604,"&lt;&gt;"&amp;$F5)&gt;0,"← Šios komandos pogrupis nurodytas nevienodai",IF($H5&gt;8,"← Šioje komandoje jau daugiau nei 8 žaidėjai",""))))))))))</f>
        <v/>
      </c>
      <c r="L5" s="78" t="str">
        <f t="shared" ref="L5:L68" si="4">IF($I5="","",IF(COUNTIF($I$5:$I$604,$I5)&gt;1,"ℹ tokių pačių vardų sąraše: "&amp;COUNTIF($I$5:$I$604,$I5),IF(AND($B5&lt;&gt;"",COUNTIFS($A$5:$A$604,$A5,$B$5:$B$604,$B5)&lt;3),"ℹ šioje komandoje tik "&amp;COUNTIFS($A$5:$A$604,$A5,$B$5:$B$604,$B5)&amp;" žaid. – ar ne rašybos klaida?","")))</f>
        <v/>
      </c>
      <c r="M5" s="4"/>
      <c r="N5" s="79">
        <f>IF(OR($A5="",$B5=""),0,IF(COUNTIFS($A$5:$A5,$A5,$B$5:$B5,$B5)=1,1,0))</f>
        <v>1</v>
      </c>
      <c r="O5" s="79">
        <f t="shared" ref="O5:O68" si="5">IF($N5&lt;&gt;1,"",1+SUMPRODUCT(($A$5:$A$604=$A5)*($B$5:$B$604&lt;$B5)*($N$5:$N$604=1)))</f>
        <v>1</v>
      </c>
      <c r="P5" s="79" t="str">
        <f t="shared" ref="P5:P68" si="6">IF(OR($N5&lt;&gt;1,$A5&lt;&gt;Lyga,AND(Pogrupis&lt;&gt;"",$F5&lt;&gt;Pogrupis)),"",1+SUMPRODUCT(($A$5:$A$604=Lyga)*($N$5:$N$604=1)*($B$5:$B$604&lt;$B5)*((($F$5:$F$604=Pogrupis)+(Pogrupis=""))&gt;0)))</f>
        <v/>
      </c>
      <c r="Q5" s="60"/>
      <c r="R5" s="80" t="s">
        <v>123</v>
      </c>
      <c r="S5" s="71" t="s">
        <v>124</v>
      </c>
      <c r="T5" s="81" t="str">
        <f t="shared" ref="T5:T44" si="7">IF($R5="","",IF($S5="",$R5,$R5&amp;", "&amp;$S5))</f>
        <v>Amerigo, Vilnius</v>
      </c>
      <c r="U5" s="82" t="s">
        <v>125</v>
      </c>
      <c r="V5" s="64"/>
      <c r="W5" s="83" t="str">
        <f>IFERROR(INDEX($B$5:$B$604,SUMPRODUCT(MATCH(1,($A$5:$A$604="A")*($N$5:$N$604=1)*($O$5:$O$604=1),0))),"")</f>
        <v>ACTION!</v>
      </c>
      <c r="X5" s="64"/>
      <c r="Y5" s="83" t="str">
        <f>IFERROR(INDEX($B$5:$B$604,SUMPRODUCT(MATCH(1,($A$5:$A$604="B")*($N$5:$N$604=1)*($O$5:$O$604=1),0))),"")</f>
        <v>7&amp;10</v>
      </c>
      <c r="Z5" s="64"/>
      <c r="AA5" s="84" t="str">
        <f>IFERROR(INDEX($B$5:$B$604,SUMPRODUCT(MATCH(1,($A$5:$A$604="C")*($N$5:$N$604=1)*($O$5:$O$604=1),0))),"")</f>
        <v>AMBER STRIKE</v>
      </c>
      <c r="AB5" s="85">
        <f>IF($T5="","",COUNTIFS($T$5:$T$44,"&lt;"&amp;$T5,$T$5:$T$44,"?*")+COUNTIF($T$5:$T5,$T5))</f>
        <v>1</v>
      </c>
      <c r="AC5" s="86" t="str">
        <f t="shared" ref="AC5:AC44" si="8">IFERROR(INDEX($T$5:$T$44,MATCH(ROW()-4,$AB$5:$AB$44,0)),"")</f>
        <v>Amerigo, Vilnius</v>
      </c>
      <c r="AD5" s="64"/>
      <c r="AE5" s="87" t="str">
        <f>IFERROR(INDEX($B$5:$B$604,MATCH(1,$P$5:$P$604,0)),"")</f>
        <v/>
      </c>
      <c r="AF5" s="4"/>
      <c r="AG5" s="88" t="str">
        <f>"1p "&amp;Protokolas!$D$16&amp;"t"</f>
        <v>1p t</v>
      </c>
      <c r="AH5" s="88" t="str">
        <f>"1p "&amp;Protokolas!$G$16&amp;"t"</f>
        <v>1p t</v>
      </c>
      <c r="AI5" s="88" t="str">
        <f>"1p "&amp;Protokolas!$F$16&amp;"t"</f>
        <v>1p t</v>
      </c>
      <c r="AJ5" s="88" t="str">
        <f>"1p "&amp;Protokolas!$E$16&amp;"t"</f>
        <v>1p t</v>
      </c>
      <c r="AL5" s="89" t="str">
        <f t="shared" ref="AL5:AL68" ca="1" si="9">IF(NOT(OR($A5="A",$A5="B",$A5="C")),"","ADMIN_Duomenys!$"&amp;IF($A5="A","W",IF($A5="B","Y","AA"))&amp;"$5:$"&amp;IF($A5="A","W",IF($A5="B","Y","AA"))&amp;"$"&amp;(4+MAX(1,COUNTIF(INDIRECT("ADMIN_Duomenys!$"&amp;IF($A5="A","W",IF($A5="B","Y","AA"))&amp;"$5:$"&amp;IF($A5="A","W",IF($A5="B","Y","AA"))&amp;"$44"),"?*"))))</f>
        <v>ADMIN_Duomenys!$W$5:$W$12</v>
      </c>
      <c r="AN5" s="88" t="str">
        <f>IF(PogrupioReikia,"Rytai","")</f>
        <v/>
      </c>
    </row>
    <row r="6" spans="1:40" x14ac:dyDescent="0.3">
      <c r="A6" s="70" t="s">
        <v>42</v>
      </c>
      <c r="B6" s="71" t="s">
        <v>120</v>
      </c>
      <c r="C6" s="71" t="s">
        <v>130</v>
      </c>
      <c r="D6" s="71" t="s">
        <v>131</v>
      </c>
      <c r="E6" s="72">
        <v>5</v>
      </c>
      <c r="F6" s="73"/>
      <c r="G6" s="74"/>
      <c r="H6" s="75">
        <f t="shared" si="0"/>
        <v>2</v>
      </c>
      <c r="I6" s="16" t="str">
        <f t="shared" si="1"/>
        <v>Laimontas DINIUS</v>
      </c>
      <c r="J6" s="76" t="str">
        <f t="shared" si="2"/>
        <v>A|ACTION!|2</v>
      </c>
      <c r="K6" s="77" t="str">
        <f t="shared" si="3"/>
        <v/>
      </c>
      <c r="L6" s="78" t="str">
        <f t="shared" si="4"/>
        <v/>
      </c>
      <c r="M6" s="4"/>
      <c r="N6" s="79">
        <f>IF(OR($A6="",$B6=""),0,IF(COUNTIFS($A$5:$A6,$A6,$B$5:$B6,$B6)=1,1,0))</f>
        <v>0</v>
      </c>
      <c r="O6" s="79" t="str">
        <f t="shared" si="5"/>
        <v/>
      </c>
      <c r="P6" s="79" t="str">
        <f t="shared" si="6"/>
        <v/>
      </c>
      <c r="Q6" s="60"/>
      <c r="R6" s="80" t="s">
        <v>127</v>
      </c>
      <c r="S6" s="71" t="s">
        <v>128</v>
      </c>
      <c r="T6" s="81" t="str">
        <f t="shared" si="7"/>
        <v>Apollo, Klaipėda</v>
      </c>
      <c r="U6" s="82" t="s">
        <v>129</v>
      </c>
      <c r="V6" s="64"/>
      <c r="W6" s="83" t="str">
        <f>IFERROR(INDEX($B$5:$B$604,SUMPRODUCT(MATCH(1,($A$5:$A$604="A")*($N$5:$N$604=1)*($O$5:$O$604=2),0))),"")</f>
        <v>ANDOPAS</v>
      </c>
      <c r="X6" s="64"/>
      <c r="Y6" s="83" t="str">
        <f>IFERROR(INDEX($B$5:$B$604,SUMPRODUCT(MATCH(1,($A$5:$A$604="B")*($N$5:$N$604=1)*($O$5:$O$604=2),0))),"")</f>
        <v>IŠ KARJERO.LT</v>
      </c>
      <c r="Z6" s="64"/>
      <c r="AA6" s="84" t="str">
        <f>IFERROR(INDEX($B$5:$B$604,SUMPRODUCT(MATCH(1,($A$5:$A$604="C")*($N$5:$N$604=1)*($O$5:$O$604=2),0))),"")</f>
        <v>BOWLING STONES</v>
      </c>
      <c r="AB6" s="85">
        <f>IF($T6="","",COUNTIFS($T$5:$T$44,"&lt;"&amp;$T6,$T$5:$T$44,"?*")+COUNTIF($T$5:$T6,$T6))</f>
        <v>2</v>
      </c>
      <c r="AC6" s="86" t="str">
        <f t="shared" si="8"/>
        <v>Apollo, Klaipėda</v>
      </c>
      <c r="AD6" s="64"/>
      <c r="AE6" s="87" t="str">
        <f>IFERROR(INDEX($B$5:$B$604,MATCH(2,$P$5:$P$604,0)),"")</f>
        <v/>
      </c>
      <c r="AF6" s="4"/>
      <c r="AG6" s="88" t="str">
        <f>"2p "&amp;Protokolas!$F$16&amp;"t"</f>
        <v>2p t</v>
      </c>
      <c r="AH6" s="88" t="str">
        <f>"2p "&amp;Protokolas!$E$16&amp;"t"</f>
        <v>2p t</v>
      </c>
      <c r="AI6" s="88" t="str">
        <f>"2p "&amp;Protokolas!$D$16&amp;"t"</f>
        <v>2p t</v>
      </c>
      <c r="AJ6" s="88" t="str">
        <f>"2p "&amp;Protokolas!$G$16&amp;"t"</f>
        <v>2p t</v>
      </c>
      <c r="AL6" s="89" t="str">
        <f t="shared" ca="1" si="9"/>
        <v>ADMIN_Duomenys!$W$5:$W$12</v>
      </c>
      <c r="AN6" s="88" t="str">
        <f>IF(PogrupioReikia,"Vakarai","")</f>
        <v/>
      </c>
    </row>
    <row r="7" spans="1:40" x14ac:dyDescent="0.3">
      <c r="A7" s="70" t="s">
        <v>42</v>
      </c>
      <c r="B7" s="71" t="s">
        <v>120</v>
      </c>
      <c r="C7" s="71" t="s">
        <v>134</v>
      </c>
      <c r="D7" s="71" t="s">
        <v>135</v>
      </c>
      <c r="E7" s="72">
        <v>0</v>
      </c>
      <c r="F7" s="73"/>
      <c r="G7" s="74"/>
      <c r="H7" s="75">
        <f t="shared" si="0"/>
        <v>5</v>
      </c>
      <c r="I7" s="16" t="str">
        <f t="shared" si="1"/>
        <v>Ugnius PETKEVIČIUS</v>
      </c>
      <c r="J7" s="76" t="str">
        <f t="shared" si="2"/>
        <v>A|ACTION!|5</v>
      </c>
      <c r="K7" s="77" t="str">
        <f t="shared" si="3"/>
        <v/>
      </c>
      <c r="L7" s="78" t="str">
        <f t="shared" si="4"/>
        <v/>
      </c>
      <c r="M7" s="4"/>
      <c r="N7" s="79">
        <f>IF(OR($A7="",$B7=""),0,IF(COUNTIFS($A$5:$A7,$A7,$B$5:$B7,$B7)=1,1,0))</f>
        <v>0</v>
      </c>
      <c r="O7" s="79" t="str">
        <f t="shared" si="5"/>
        <v/>
      </c>
      <c r="P7" s="79" t="str">
        <f t="shared" si="6"/>
        <v/>
      </c>
      <c r="Q7" s="60"/>
      <c r="R7" s="80" t="s">
        <v>127</v>
      </c>
      <c r="S7" s="71" t="s">
        <v>132</v>
      </c>
      <c r="T7" s="81" t="str">
        <f t="shared" si="7"/>
        <v>Apollo, Šiauliai</v>
      </c>
      <c r="U7" s="82" t="s">
        <v>133</v>
      </c>
      <c r="V7" s="64"/>
      <c r="W7" s="83" t="str">
        <f>IFERROR(INDEX($B$5:$B$604,SUMPRODUCT(MATCH(1,($A$5:$A$604="A")*($N$5:$N$604=1)*($O$5:$O$604=3),0))),"")</f>
        <v>BOWLY</v>
      </c>
      <c r="X7" s="64"/>
      <c r="Y7" s="83" t="str">
        <f>IFERROR(INDEX($B$5:$B$604,SUMPRODUCT(MATCH(1,($A$5:$A$604="B")*($N$5:$N$604=1)*($O$5:$O$604=3),0))),"")</f>
        <v>KLAIPĖDOS BŪRYS</v>
      </c>
      <c r="Z7" s="64"/>
      <c r="AA7" s="84" t="str">
        <f>IFERROR(INDEX($B$5:$B$604,SUMPRODUCT(MATCH(1,($A$5:$A$604="C")*($N$5:$N$604=1)*($O$5:$O$604=3),0))),"")</f>
        <v>E.L.A.D.A.</v>
      </c>
      <c r="AB7" s="85">
        <f>IF($T7="","",COUNTIFS($T$5:$T$44,"&lt;"&amp;$T7,$T$5:$T$44,"?*")+COUNTIF($T$5:$T7,$T7))</f>
        <v>3</v>
      </c>
      <c r="AC7" s="86" t="str">
        <f t="shared" si="8"/>
        <v>Apollo, Šiauliai</v>
      </c>
      <c r="AD7" s="64"/>
      <c r="AE7" s="87" t="str">
        <f>IFERROR(INDEX($B$5:$B$604,MATCH(3,$P$5:$P$604,0)),"")</f>
        <v/>
      </c>
      <c r="AF7" s="4"/>
      <c r="AL7" s="89" t="str">
        <f t="shared" ca="1" si="9"/>
        <v>ADMIN_Duomenys!$W$5:$W$12</v>
      </c>
    </row>
    <row r="8" spans="1:40" x14ac:dyDescent="0.3">
      <c r="A8" s="70" t="s">
        <v>42</v>
      </c>
      <c r="B8" s="71" t="s">
        <v>120</v>
      </c>
      <c r="C8" s="71" t="s">
        <v>144</v>
      </c>
      <c r="D8" s="71" t="s">
        <v>145</v>
      </c>
      <c r="E8" s="72">
        <v>0</v>
      </c>
      <c r="F8" s="73"/>
      <c r="G8" s="74"/>
      <c r="H8" s="75">
        <f t="shared" si="0"/>
        <v>1</v>
      </c>
      <c r="I8" s="16" t="str">
        <f t="shared" si="1"/>
        <v>Artūras SMILGYS</v>
      </c>
      <c r="J8" s="76" t="str">
        <f t="shared" si="2"/>
        <v>A|ACTION!|1</v>
      </c>
      <c r="K8" s="77" t="str">
        <f t="shared" si="3"/>
        <v/>
      </c>
      <c r="L8" s="78" t="str">
        <f t="shared" si="4"/>
        <v/>
      </c>
      <c r="M8" s="4"/>
      <c r="N8" s="79">
        <f>IF(OR($A8="",$B8=""),0,IF(COUNTIFS($A$5:$A8,$A8,$B$5:$B8,$B8)=1,1,0))</f>
        <v>0</v>
      </c>
      <c r="O8" s="79" t="str">
        <f t="shared" si="5"/>
        <v/>
      </c>
      <c r="P8" s="79" t="str">
        <f t="shared" si="6"/>
        <v/>
      </c>
      <c r="Q8" s="60"/>
      <c r="R8" s="80" t="s">
        <v>136</v>
      </c>
      <c r="S8" s="71" t="s">
        <v>137</v>
      </c>
      <c r="T8" s="81" t="str">
        <f t="shared" si="7"/>
        <v>Kišenė, Trakai</v>
      </c>
      <c r="U8" s="82" t="s">
        <v>138</v>
      </c>
      <c r="V8" s="64"/>
      <c r="W8" s="83" t="str">
        <f>IFERROR(INDEX($B$5:$B$604,SUMPRODUCT(MATCH(1,($A$5:$A$604="A")*($N$5:$N$604=1)*($O$5:$O$604=4),0))),"")</f>
        <v>IMAGAMIS</v>
      </c>
      <c r="X8" s="64"/>
      <c r="Y8" s="83" t="str">
        <f>IFERROR(INDEX($B$5:$B$604,SUMPRODUCT(MATCH(1,($A$5:$A$604="B")*($N$5:$N$604=1)*($O$5:$O$604=4),0))),"")</f>
        <v>KOPTRANSA</v>
      </c>
      <c r="Z8" s="64"/>
      <c r="AA8" s="84" t="str">
        <f>IFERROR(INDEX($B$5:$B$604,SUMPRODUCT(MATCH(1,($A$5:$A$604="C")*($N$5:$N$604=1)*($O$5:$O$604=4),0))),"")</f>
        <v>EKIPA</v>
      </c>
      <c r="AB8" s="85">
        <f>IF($T8="","",COUNTIFS($T$5:$T$44,"&lt;"&amp;$T8,$T$5:$T$44,"?*")+COUNTIF($T$5:$T8,$T8))</f>
        <v>4</v>
      </c>
      <c r="AC8" s="86" t="str">
        <f t="shared" si="8"/>
        <v>Kišenė, Trakai</v>
      </c>
      <c r="AD8" s="64"/>
      <c r="AE8" s="87" t="str">
        <f>IFERROR(INDEX($B$5:$B$604,MATCH(4,$P$5:$P$604,0)),"")</f>
        <v/>
      </c>
      <c r="AF8" s="4"/>
      <c r="AL8" s="89" t="str">
        <f t="shared" ca="1" si="9"/>
        <v>ADMIN_Duomenys!$W$5:$W$12</v>
      </c>
    </row>
    <row r="9" spans="1:40" x14ac:dyDescent="0.3">
      <c r="A9" s="70" t="s">
        <v>42</v>
      </c>
      <c r="B9" s="71" t="s">
        <v>120</v>
      </c>
      <c r="C9" s="71" t="s">
        <v>139</v>
      </c>
      <c r="D9" s="71" t="s">
        <v>140</v>
      </c>
      <c r="E9" s="72">
        <v>0</v>
      </c>
      <c r="F9" s="73"/>
      <c r="G9" s="74"/>
      <c r="H9" s="75">
        <f t="shared" si="0"/>
        <v>3</v>
      </c>
      <c r="I9" s="16" t="str">
        <f t="shared" si="1"/>
        <v>Marius ŠIAUDKULIS</v>
      </c>
      <c r="J9" s="76" t="str">
        <f t="shared" si="2"/>
        <v>A|ACTION!|3</v>
      </c>
      <c r="K9" s="77" t="str">
        <f t="shared" si="3"/>
        <v/>
      </c>
      <c r="L9" s="78" t="str">
        <f t="shared" si="4"/>
        <v/>
      </c>
      <c r="M9" s="4"/>
      <c r="N9" s="79">
        <f>IF(OR($A9="",$B9=""),0,IF(COUNTIFS($A$5:$A9,$A9,$B$5:$B9,$B9)=1,1,0))</f>
        <v>0</v>
      </c>
      <c r="O9" s="79" t="str">
        <f t="shared" si="5"/>
        <v/>
      </c>
      <c r="P9" s="79" t="str">
        <f t="shared" si="6"/>
        <v/>
      </c>
      <c r="Q9" s="60"/>
      <c r="R9" s="80" t="s">
        <v>141</v>
      </c>
      <c r="S9" s="71" t="s">
        <v>142</v>
      </c>
      <c r="T9" s="81" t="str">
        <f t="shared" si="7"/>
        <v>Palangos boulingas, Palanga</v>
      </c>
      <c r="U9" s="82" t="s">
        <v>143</v>
      </c>
      <c r="V9" s="64"/>
      <c r="W9" s="83" t="str">
        <f>IFERROR(INDEX($B$5:$B$604,SUMPRODUCT(MATCH(1,($A$5:$A$604="A")*($N$5:$N$604=1)*($O$5:$O$604=5),0))),"")</f>
        <v>KAUNO GRŪDAI</v>
      </c>
      <c r="X9" s="64"/>
      <c r="Y9" s="83" t="str">
        <f>IFERROR(INDEX($B$5:$B$604,SUMPRODUCT(MATCH(1,($A$5:$A$604="B")*($N$5:$N$604=1)*($O$5:$O$604=5),0))),"")</f>
        <v>LUCKY STRIKE</v>
      </c>
      <c r="Z9" s="64"/>
      <c r="AA9" s="84" t="str">
        <f>IFERROR(INDEX($B$5:$B$604,SUMPRODUCT(MATCH(1,($A$5:$A$604="C")*($N$5:$N$604=1)*($O$5:$O$604=5),0))),"")</f>
        <v>KKK</v>
      </c>
      <c r="AB9" s="85">
        <f>IF($T9="","",COUNTIFS($T$5:$T$44,"&lt;"&amp;$T9,$T$5:$T$44,"?*")+COUNTIF($T$5:$T9,$T9))</f>
        <v>7</v>
      </c>
      <c r="AC9" s="86" t="str">
        <f t="shared" si="8"/>
        <v>O‘Learys, Vilnius</v>
      </c>
      <c r="AD9" s="64"/>
      <c r="AE9" s="87" t="str">
        <f>IFERROR(INDEX($B$5:$B$604,MATCH(5,$P$5:$P$604,0)),"")</f>
        <v/>
      </c>
      <c r="AF9" s="4"/>
      <c r="AL9" s="89" t="str">
        <f t="shared" ca="1" si="9"/>
        <v>ADMIN_Duomenys!$W$5:$W$12</v>
      </c>
    </row>
    <row r="10" spans="1:40" x14ac:dyDescent="0.3">
      <c r="A10" s="70" t="s">
        <v>42</v>
      </c>
      <c r="B10" s="71" t="s">
        <v>148</v>
      </c>
      <c r="C10" s="71" t="s">
        <v>149</v>
      </c>
      <c r="D10" s="71" t="s">
        <v>150</v>
      </c>
      <c r="E10" s="72">
        <v>0</v>
      </c>
      <c r="F10" s="73"/>
      <c r="G10" s="74"/>
      <c r="H10" s="75">
        <f t="shared" si="0"/>
        <v>7</v>
      </c>
      <c r="I10" s="16" t="str">
        <f t="shared" si="1"/>
        <v>Sigitas BAUŽYS</v>
      </c>
      <c r="J10" s="76" t="str">
        <f t="shared" si="2"/>
        <v>A|ANDOPAS|7</v>
      </c>
      <c r="K10" s="77" t="str">
        <f t="shared" si="3"/>
        <v/>
      </c>
      <c r="L10" s="78" t="str">
        <f t="shared" si="4"/>
        <v/>
      </c>
      <c r="M10" s="4"/>
      <c r="N10" s="79">
        <f>IF(OR($A10="",$B10=""),0,IF(COUNTIFS($A$5:$A10,$A10,$B$5:$B10,$B10)=1,1,0))</f>
        <v>1</v>
      </c>
      <c r="O10" s="79">
        <f t="shared" si="5"/>
        <v>2</v>
      </c>
      <c r="P10" s="79" t="str">
        <f t="shared" si="6"/>
        <v/>
      </c>
      <c r="Q10" s="60"/>
      <c r="R10" s="80" t="s">
        <v>146</v>
      </c>
      <c r="S10" s="71" t="s">
        <v>124</v>
      </c>
      <c r="T10" s="81" t="str">
        <f t="shared" si="7"/>
        <v>O‘Learys, Vilnius</v>
      </c>
      <c r="U10" s="82" t="s">
        <v>147</v>
      </c>
      <c r="V10" s="64"/>
      <c r="W10" s="83" t="str">
        <f>IFERROR(INDEX($B$5:$B$604,SUMPRODUCT(MATCH(1,($A$5:$A$604="A")*($N$5:$N$604=1)*($O$5:$O$604=6),0))),"")</f>
        <v>PROMETĖJAS</v>
      </c>
      <c r="X10" s="64"/>
      <c r="Y10" s="83" t="str">
        <f>IFERROR(INDEX($B$5:$B$604,SUMPRODUCT(MATCH(1,($A$5:$A$604="B")*($N$5:$N$604=1)*($O$5:$O$604=6),0))),"")</f>
        <v>ONIKSAS</v>
      </c>
      <c r="Z10" s="64"/>
      <c r="AA10" s="84" t="str">
        <f>IFERROR(INDEX($B$5:$B$604,SUMPRODUCT(MATCH(1,($A$5:$A$604="C")*($N$5:$N$604=1)*($O$5:$O$604=6),0))),"")</f>
        <v>KKK-2</v>
      </c>
      <c r="AB10" s="85">
        <f>IF($T10="","",COUNTIFS($T$5:$T$44,"&lt;"&amp;$T10,$T$5:$T$44,"?*")+COUNTIF($T$5:$T10,$T10))</f>
        <v>5</v>
      </c>
      <c r="AC10" s="86" t="str">
        <f t="shared" si="8"/>
        <v>Oazė, Kaunas</v>
      </c>
      <c r="AD10" s="64"/>
      <c r="AE10" s="87" t="str">
        <f>IFERROR(INDEX($B$5:$B$604,MATCH(6,$P$5:$P$604,0)),"")</f>
        <v/>
      </c>
      <c r="AF10" s="4"/>
      <c r="AL10" s="89" t="str">
        <f t="shared" ca="1" si="9"/>
        <v>ADMIN_Duomenys!$W$5:$W$12</v>
      </c>
    </row>
    <row r="11" spans="1:40" x14ac:dyDescent="0.3">
      <c r="A11" s="70" t="s">
        <v>42</v>
      </c>
      <c r="B11" s="71" t="s">
        <v>148</v>
      </c>
      <c r="C11" s="71" t="s">
        <v>153</v>
      </c>
      <c r="D11" s="71" t="s">
        <v>154</v>
      </c>
      <c r="E11" s="72">
        <v>0</v>
      </c>
      <c r="F11" s="73"/>
      <c r="G11" s="74"/>
      <c r="H11" s="75">
        <f t="shared" si="0"/>
        <v>3</v>
      </c>
      <c r="I11" s="16" t="str">
        <f t="shared" si="1"/>
        <v>Artemijs HUDJAKOVS</v>
      </c>
      <c r="J11" s="76" t="str">
        <f t="shared" si="2"/>
        <v>A|ANDOPAS|3</v>
      </c>
      <c r="K11" s="77" t="str">
        <f t="shared" si="3"/>
        <v/>
      </c>
      <c r="L11" s="78" t="str">
        <f t="shared" si="4"/>
        <v/>
      </c>
      <c r="M11" s="4"/>
      <c r="N11" s="79">
        <f>IF(OR($A11="",$B11=""),0,IF(COUNTIFS($A$5:$A11,$A11,$B$5:$B11,$B11)=1,1,0))</f>
        <v>0</v>
      </c>
      <c r="O11" s="79" t="str">
        <f t="shared" si="5"/>
        <v/>
      </c>
      <c r="P11" s="79" t="str">
        <f t="shared" si="6"/>
        <v/>
      </c>
      <c r="Q11" s="60"/>
      <c r="R11" s="80" t="s">
        <v>151</v>
      </c>
      <c r="S11" s="71" t="s">
        <v>152</v>
      </c>
      <c r="T11" s="81" t="str">
        <f t="shared" si="7"/>
        <v>Oazė, Kaunas</v>
      </c>
      <c r="U11" s="82"/>
      <c r="V11" s="64"/>
      <c r="W11" s="83" t="str">
        <f>IFERROR(INDEX($B$5:$B$604,SUMPRODUCT(MATCH(1,($A$5:$A$604="A")*($N$5:$N$604=1)*($O$5:$O$604=7),0))),"")</f>
        <v>STRIKE HOUSE &amp; D.M PROPERTIES</v>
      </c>
      <c r="X11" s="64"/>
      <c r="Y11" s="83" t="str">
        <f>IFERROR(INDEX($B$5:$B$604,SUMPRODUCT(MATCH(1,($A$5:$A$604="B")*($N$5:$N$604=1)*($O$5:$O$604=7),0))),"")</f>
        <v>SENI ŠERNAI</v>
      </c>
      <c r="Z11" s="64"/>
      <c r="AA11" s="84" t="str">
        <f>IFERROR(INDEX($B$5:$B$604,SUMPRODUCT(MATCH(1,($A$5:$A$604="C")*($N$5:$N$604=1)*($O$5:$O$604=7),0))),"")</f>
        <v>MAJAMIS</v>
      </c>
      <c r="AB11" s="85">
        <f>IF($T11="","",COUNTIFS($T$5:$T$44,"&lt;"&amp;$T11,$T$5:$T$44,"?*")+COUNTIF($T$5:$T11,$T11))</f>
        <v>6</v>
      </c>
      <c r="AC11" s="86" t="str">
        <f t="shared" si="8"/>
        <v>Palangos boulingas, Palanga</v>
      </c>
      <c r="AD11" s="64"/>
      <c r="AE11" s="87" t="str">
        <f>IFERROR(INDEX($B$5:$B$604,MATCH(7,$P$5:$P$604,0)),"")</f>
        <v/>
      </c>
      <c r="AF11" s="4"/>
      <c r="AL11" s="89" t="str">
        <f t="shared" ca="1" si="9"/>
        <v>ADMIN_Duomenys!$W$5:$W$12</v>
      </c>
    </row>
    <row r="12" spans="1:40" x14ac:dyDescent="0.3">
      <c r="A12" s="70" t="s">
        <v>42</v>
      </c>
      <c r="B12" s="71" t="s">
        <v>148</v>
      </c>
      <c r="C12" s="71" t="s">
        <v>157</v>
      </c>
      <c r="D12" s="71" t="s">
        <v>158</v>
      </c>
      <c r="E12" s="72">
        <v>0</v>
      </c>
      <c r="F12" s="73"/>
      <c r="G12" s="74"/>
      <c r="H12" s="75">
        <f t="shared" si="0"/>
        <v>5</v>
      </c>
      <c r="I12" s="16" t="str">
        <f t="shared" si="1"/>
        <v>Gasparas KAZLAUSKAS</v>
      </c>
      <c r="J12" s="76" t="str">
        <f t="shared" si="2"/>
        <v>A|ANDOPAS|5</v>
      </c>
      <c r="K12" s="77" t="str">
        <f t="shared" si="3"/>
        <v/>
      </c>
      <c r="L12" s="78" t="str">
        <f t="shared" si="4"/>
        <v/>
      </c>
      <c r="M12" s="4"/>
      <c r="N12" s="79">
        <f>IF(OR($A12="",$B12=""),0,IF(COUNTIFS($A$5:$A12,$A12,$B$5:$B12,$B12)=1,1,0))</f>
        <v>0</v>
      </c>
      <c r="O12" s="79" t="str">
        <f t="shared" si="5"/>
        <v/>
      </c>
      <c r="P12" s="79" t="str">
        <f t="shared" si="6"/>
        <v/>
      </c>
      <c r="Q12" s="60"/>
      <c r="R12" s="80" t="s">
        <v>155</v>
      </c>
      <c r="S12" s="71" t="s">
        <v>156</v>
      </c>
      <c r="T12" s="81" t="str">
        <f t="shared" si="7"/>
        <v>Porto, Plungė</v>
      </c>
      <c r="U12" s="82"/>
      <c r="V12" s="64"/>
      <c r="W12" s="83" t="str">
        <f>IFERROR(INDEX($B$5:$B$604,SUMPRODUCT(MATCH(1,($A$5:$A$604="A")*($N$5:$N$604=1)*($O$5:$O$604=8),0))),"")</f>
        <v>WITSEE MELGA</v>
      </c>
      <c r="X12" s="64"/>
      <c r="Y12" s="83" t="str">
        <f>IFERROR(INDEX($B$5:$B$604,SUMPRODUCT(MATCH(1,($A$5:$A$604="B")*($N$5:$N$604=1)*($O$5:$O$604=8),0))),"")</f>
        <v>SOUNDSGOOD LT</v>
      </c>
      <c r="Z12" s="64"/>
      <c r="AA12" s="84" t="str">
        <f>IFERROR(INDEX($B$5:$B$604,SUMPRODUCT(MATCH(1,($A$5:$A$604="C")*($N$5:$N$604=1)*($O$5:$O$604=8),0))),"")</f>
        <v>PINUS MARIS</v>
      </c>
      <c r="AB12" s="85">
        <f>IF($T12="","",COUNTIFS($T$5:$T$44,"&lt;"&amp;$T12,$T$5:$T$44,"?*")+COUNTIF($T$5:$T12,$T12))</f>
        <v>8</v>
      </c>
      <c r="AC12" s="86" t="str">
        <f t="shared" si="8"/>
        <v>Porto, Plungė</v>
      </c>
      <c r="AD12" s="64"/>
      <c r="AE12" s="87" t="str">
        <f>IFERROR(INDEX($B$5:$B$604,MATCH(8,$P$5:$P$604,0)),"")</f>
        <v/>
      </c>
      <c r="AF12" s="4"/>
      <c r="AL12" s="89" t="str">
        <f t="shared" ca="1" si="9"/>
        <v>ADMIN_Duomenys!$W$5:$W$12</v>
      </c>
    </row>
    <row r="13" spans="1:40" x14ac:dyDescent="0.3">
      <c r="A13" s="70" t="s">
        <v>42</v>
      </c>
      <c r="B13" s="71" t="s">
        <v>148</v>
      </c>
      <c r="C13" s="71" t="s">
        <v>161</v>
      </c>
      <c r="D13" s="71" t="s">
        <v>162</v>
      </c>
      <c r="E13" s="72">
        <v>0</v>
      </c>
      <c r="F13" s="73"/>
      <c r="G13" s="74"/>
      <c r="H13" s="75">
        <f t="shared" si="0"/>
        <v>1</v>
      </c>
      <c r="I13" s="16" t="str">
        <f t="shared" si="1"/>
        <v>Andrius PELAKAUSKAS</v>
      </c>
      <c r="J13" s="76" t="str">
        <f t="shared" si="2"/>
        <v>A|ANDOPAS|1</v>
      </c>
      <c r="K13" s="77" t="str">
        <f t="shared" si="3"/>
        <v/>
      </c>
      <c r="L13" s="78" t="str">
        <f t="shared" si="4"/>
        <v/>
      </c>
      <c r="M13" s="4"/>
      <c r="N13" s="79">
        <f>IF(OR($A13="",$B13=""),0,IF(COUNTIFS($A$5:$A13,$A13,$B$5:$B13,$B13)=1,1,0))</f>
        <v>0</v>
      </c>
      <c r="O13" s="79" t="str">
        <f t="shared" si="5"/>
        <v/>
      </c>
      <c r="P13" s="79" t="str">
        <f t="shared" si="6"/>
        <v/>
      </c>
      <c r="Q13" s="60"/>
      <c r="R13" s="80" t="s">
        <v>159</v>
      </c>
      <c r="S13" s="71" t="s">
        <v>160</v>
      </c>
      <c r="T13" s="81" t="str">
        <f t="shared" si="7"/>
        <v>SPA Vilnius, Druskininkai</v>
      </c>
      <c r="U13" s="82"/>
      <c r="V13" s="64"/>
      <c r="W13" s="83" t="str">
        <f>IFERROR(INDEX($B$5:$B$604,SUMPRODUCT(MATCH(1,($A$5:$A$604="A")*($N$5:$N$604=1)*($O$5:$O$604=9),0))),"")</f>
        <v/>
      </c>
      <c r="X13" s="64"/>
      <c r="Y13" s="83" t="str">
        <f>IFERROR(INDEX($B$5:$B$604,SUMPRODUCT(MATCH(1,($A$5:$A$604="B")*($N$5:$N$604=1)*($O$5:$O$604=9),0))),"")</f>
        <v>SPA VILNIUS 2</v>
      </c>
      <c r="Z13" s="64"/>
      <c r="AA13" s="84" t="str">
        <f>IFERROR(INDEX($B$5:$B$604,SUMPRODUCT(MATCH(1,($A$5:$A$604="C")*($N$5:$N$604=1)*($O$5:$O$604=9),0))),"")</f>
        <v>SPLIT HAPPENS</v>
      </c>
      <c r="AB13" s="85">
        <f>IF($T13="","",COUNTIFS($T$5:$T$44,"&lt;"&amp;$T13,$T$5:$T$44,"?*")+COUNTIF($T$5:$T13,$T13))</f>
        <v>9</v>
      </c>
      <c r="AC13" s="86" t="str">
        <f t="shared" si="8"/>
        <v>SPA Vilnius, Druskininkai</v>
      </c>
      <c r="AD13" s="64"/>
      <c r="AE13" s="87" t="str">
        <f>IFERROR(INDEX($B$5:$B$604,MATCH(9,$P$5:$P$604,0)),"")</f>
        <v/>
      </c>
      <c r="AF13" s="4"/>
      <c r="AL13" s="89" t="str">
        <f t="shared" ca="1" si="9"/>
        <v>ADMIN_Duomenys!$W$5:$W$12</v>
      </c>
    </row>
    <row r="14" spans="1:40" x14ac:dyDescent="0.3">
      <c r="A14" s="70" t="s">
        <v>42</v>
      </c>
      <c r="B14" s="71" t="s">
        <v>148</v>
      </c>
      <c r="C14" s="71" t="s">
        <v>164</v>
      </c>
      <c r="D14" s="71" t="s">
        <v>165</v>
      </c>
      <c r="E14" s="72">
        <v>0</v>
      </c>
      <c r="F14" s="73"/>
      <c r="G14" s="74"/>
      <c r="H14" s="75">
        <f t="shared" si="0"/>
        <v>8</v>
      </c>
      <c r="I14" s="16" t="str">
        <f t="shared" si="1"/>
        <v>Žilvinas PERMINAS</v>
      </c>
      <c r="J14" s="76" t="str">
        <f t="shared" si="2"/>
        <v>A|ANDOPAS|8</v>
      </c>
      <c r="K14" s="77" t="str">
        <f t="shared" si="3"/>
        <v/>
      </c>
      <c r="L14" s="78" t="str">
        <f t="shared" si="4"/>
        <v/>
      </c>
      <c r="M14" s="4"/>
      <c r="N14" s="79">
        <f>IF(OR($A14="",$B14=""),0,IF(COUNTIFS($A$5:$A14,$A14,$B$5:$B14,$B14)=1,1,0))</f>
        <v>0</v>
      </c>
      <c r="O14" s="79" t="str">
        <f t="shared" si="5"/>
        <v/>
      </c>
      <c r="P14" s="79" t="str">
        <f t="shared" si="6"/>
        <v/>
      </c>
      <c r="Q14" s="60"/>
      <c r="R14" s="80" t="s">
        <v>163</v>
      </c>
      <c r="S14" s="71" t="s">
        <v>152</v>
      </c>
      <c r="T14" s="81" t="str">
        <f t="shared" si="7"/>
        <v>Strike House, Kaunas</v>
      </c>
      <c r="U14" s="82"/>
      <c r="V14" s="64"/>
      <c r="W14" s="83" t="str">
        <f>IFERROR(INDEX($B$5:$B$604,SUMPRODUCT(MATCH(1,($A$5:$A$604="A")*($N$5:$N$604=1)*($O$5:$O$604=10),0))),"")</f>
        <v/>
      </c>
      <c r="X14" s="64"/>
      <c r="Y14" s="83" t="str">
        <f>IFERROR(INDEX($B$5:$B$604,SUMPRODUCT(MATCH(1,($A$5:$A$604="B")*($N$5:$N$604=1)*($O$5:$O$604=10),0))),"")</f>
        <v>SVEIKATOS LANGAS</v>
      </c>
      <c r="Z14" s="64"/>
      <c r="AA14" s="84" t="str">
        <f>IFERROR(INDEX($B$5:$B$604,SUMPRODUCT(MATCH(1,($A$5:$A$604="C")*($N$5:$N$604=1)*($O$5:$O$604=10),0))),"")</f>
        <v>STRAIKAS+</v>
      </c>
      <c r="AB14" s="85">
        <f>IF($T14="","",COUNTIFS($T$5:$T$44,"&lt;"&amp;$T14,$T$5:$T$44,"?*")+COUNTIF($T$5:$T14,$T14))</f>
        <v>10</v>
      </c>
      <c r="AC14" s="86" t="str">
        <f t="shared" si="8"/>
        <v>Strike House, Kaunas</v>
      </c>
      <c r="AD14" s="64"/>
      <c r="AE14" s="87" t="str">
        <f>IFERROR(INDEX($B$5:$B$604,MATCH(10,$P$5:$P$604,0)),"")</f>
        <v/>
      </c>
      <c r="AF14" s="4"/>
      <c r="AL14" s="89" t="str">
        <f t="shared" ca="1" si="9"/>
        <v>ADMIN_Duomenys!$W$5:$W$12</v>
      </c>
    </row>
    <row r="15" spans="1:40" x14ac:dyDescent="0.3">
      <c r="A15" s="70" t="s">
        <v>42</v>
      </c>
      <c r="B15" s="71" t="s">
        <v>148</v>
      </c>
      <c r="C15" s="71" t="s">
        <v>167</v>
      </c>
      <c r="D15" s="71" t="s">
        <v>168</v>
      </c>
      <c r="E15" s="72">
        <v>8</v>
      </c>
      <c r="F15" s="73"/>
      <c r="G15" s="74"/>
      <c r="H15" s="75">
        <f t="shared" si="0"/>
        <v>4</v>
      </c>
      <c r="I15" s="16" t="str">
        <f t="shared" si="1"/>
        <v>Daiva PERMINIENĖ</v>
      </c>
      <c r="J15" s="76" t="str">
        <f t="shared" si="2"/>
        <v>A|ANDOPAS|4</v>
      </c>
      <c r="K15" s="77" t="str">
        <f t="shared" si="3"/>
        <v/>
      </c>
      <c r="L15" s="78" t="str">
        <f t="shared" si="4"/>
        <v/>
      </c>
      <c r="M15" s="4"/>
      <c r="N15" s="79">
        <f>IF(OR($A15="",$B15=""),0,IF(COUNTIFS($A$5:$A15,$A15,$B$5:$B15,$B15)=1,1,0))</f>
        <v>0</v>
      </c>
      <c r="O15" s="79" t="str">
        <f t="shared" si="5"/>
        <v/>
      </c>
      <c r="P15" s="79" t="str">
        <f t="shared" si="6"/>
        <v/>
      </c>
      <c r="Q15" s="60"/>
      <c r="R15" s="80" t="s">
        <v>166</v>
      </c>
      <c r="S15" s="71" t="s">
        <v>124</v>
      </c>
      <c r="T15" s="81" t="str">
        <f t="shared" si="7"/>
        <v>Žirmūnai, Vilnius</v>
      </c>
      <c r="U15" s="82"/>
      <c r="V15" s="64"/>
      <c r="W15" s="83" t="str">
        <f>IFERROR(INDEX($B$5:$B$604,SUMPRODUCT(MATCH(1,($A$5:$A$604="A")*($N$5:$N$604=1)*($O$5:$O$604=11),0))),"")</f>
        <v/>
      </c>
      <c r="X15" s="64"/>
      <c r="Y15" s="83" t="str">
        <f>IFERROR(INDEX($B$5:$B$604,SUMPRODUCT(MATCH(1,($A$5:$A$604="B")*($N$5:$N$604=1)*($O$5:$O$604=11),0))),"")</f>
        <v>TOYOTA</v>
      </c>
      <c r="Z15" s="64"/>
      <c r="AA15" s="84" t="str">
        <f>IFERROR(INDEX($B$5:$B$604,SUMPRODUCT(MATCH(1,($A$5:$A$604="C")*($N$5:$N$604=1)*($O$5:$O$604=11),0))),"")</f>
        <v>SŪDUVIAI</v>
      </c>
      <c r="AB15" s="85">
        <f>IF($T15="","",COUNTIFS($T$5:$T$44,"&lt;"&amp;$T15,$T$5:$T$44,"?*")+COUNTIF($T$5:$T15,$T15))</f>
        <v>11</v>
      </c>
      <c r="AC15" s="86" t="str">
        <f t="shared" si="8"/>
        <v>Žirmūnai, Vilnius</v>
      </c>
      <c r="AD15" s="64"/>
      <c r="AE15" s="87" t="str">
        <f>IFERROR(INDEX($B$5:$B$604,MATCH(11,$P$5:$P$604,0)),"")</f>
        <v/>
      </c>
      <c r="AF15" s="4"/>
      <c r="AL15" s="89" t="str">
        <f t="shared" ca="1" si="9"/>
        <v>ADMIN_Duomenys!$W$5:$W$12</v>
      </c>
    </row>
    <row r="16" spans="1:40" x14ac:dyDescent="0.3">
      <c r="A16" s="70" t="s">
        <v>42</v>
      </c>
      <c r="B16" s="71" t="s">
        <v>148</v>
      </c>
      <c r="C16" s="71" t="s">
        <v>161</v>
      </c>
      <c r="D16" s="71" t="s">
        <v>169</v>
      </c>
      <c r="E16" s="72">
        <v>0</v>
      </c>
      <c r="F16" s="73"/>
      <c r="G16" s="74"/>
      <c r="H16" s="75">
        <f t="shared" si="0"/>
        <v>2</v>
      </c>
      <c r="I16" s="16" t="str">
        <f t="shared" si="1"/>
        <v>Andrius POCIUS</v>
      </c>
      <c r="J16" s="76" t="str">
        <f t="shared" si="2"/>
        <v>A|ANDOPAS|2</v>
      </c>
      <c r="K16" s="77" t="str">
        <f t="shared" si="3"/>
        <v/>
      </c>
      <c r="L16" s="78" t="str">
        <f t="shared" si="4"/>
        <v/>
      </c>
      <c r="M16" s="4"/>
      <c r="N16" s="79">
        <f>IF(OR($A16="",$B16=""),0,IF(COUNTIFS($A$5:$A16,$A16,$B$5:$B16,$B16)=1,1,0))</f>
        <v>0</v>
      </c>
      <c r="O16" s="79" t="str">
        <f t="shared" si="5"/>
        <v/>
      </c>
      <c r="P16" s="79" t="str">
        <f t="shared" si="6"/>
        <v/>
      </c>
      <c r="Q16" s="60"/>
      <c r="R16" s="80"/>
      <c r="S16" s="71"/>
      <c r="T16" s="81" t="str">
        <f t="shared" si="7"/>
        <v/>
      </c>
      <c r="U16" s="82"/>
      <c r="V16" s="64"/>
      <c r="W16" s="83" t="str">
        <f>IFERROR(INDEX($B$5:$B$604,SUMPRODUCT(MATCH(1,($A$5:$A$604="A")*($N$5:$N$604=1)*($O$5:$O$604=12),0))),"")</f>
        <v/>
      </c>
      <c r="X16" s="64"/>
      <c r="Y16" s="83" t="str">
        <f>IFERROR(INDEX($B$5:$B$604,SUMPRODUCT(MATCH(1,($A$5:$A$604="B")*($N$5:$N$604=1)*($O$5:$O$604=12),0))),"")</f>
        <v>WITSEE</v>
      </c>
      <c r="Z16" s="64"/>
      <c r="AA16" s="84" t="str">
        <f>IFERROR(INDEX($B$5:$B$604,SUMPRODUCT(MATCH(1,($A$5:$A$604="C")*($N$5:$N$604=1)*($O$5:$O$604=12),0))),"")</f>
        <v>TAIKLIEJI</v>
      </c>
      <c r="AB16" s="85" t="str">
        <f>IF($T16="","",COUNTIFS($T$5:$T$44,"&lt;"&amp;$T16,$T$5:$T$44,"?*")+COUNTIF($T$5:$T16,$T16))</f>
        <v/>
      </c>
      <c r="AC16" s="86" t="str">
        <f t="shared" si="8"/>
        <v/>
      </c>
      <c r="AD16" s="64"/>
      <c r="AE16" s="87" t="str">
        <f>IFERROR(INDEX($B$5:$B$604,MATCH(12,$P$5:$P$604,0)),"")</f>
        <v/>
      </c>
      <c r="AF16" s="4"/>
      <c r="AL16" s="89" t="str">
        <f t="shared" ca="1" si="9"/>
        <v>ADMIN_Duomenys!$W$5:$W$12</v>
      </c>
    </row>
    <row r="17" spans="1:38" x14ac:dyDescent="0.3">
      <c r="A17" s="70" t="s">
        <v>42</v>
      </c>
      <c r="B17" s="71" t="s">
        <v>148</v>
      </c>
      <c r="C17" s="71" t="s">
        <v>170</v>
      </c>
      <c r="D17" s="71" t="s">
        <v>171</v>
      </c>
      <c r="E17" s="72">
        <v>0</v>
      </c>
      <c r="F17" s="73"/>
      <c r="G17" s="74"/>
      <c r="H17" s="75">
        <f t="shared" si="0"/>
        <v>6</v>
      </c>
      <c r="I17" s="16" t="str">
        <f t="shared" si="1"/>
        <v>Mantas TRAKIMAVIČIUS</v>
      </c>
      <c r="J17" s="76" t="str">
        <f t="shared" si="2"/>
        <v>A|ANDOPAS|6</v>
      </c>
      <c r="K17" s="77" t="str">
        <f t="shared" si="3"/>
        <v/>
      </c>
      <c r="L17" s="78" t="str">
        <f t="shared" si="4"/>
        <v/>
      </c>
      <c r="M17" s="4"/>
      <c r="N17" s="79">
        <f>IF(OR($A17="",$B17=""),0,IF(COUNTIFS($A$5:$A17,$A17,$B$5:$B17,$B17)=1,1,0))</f>
        <v>0</v>
      </c>
      <c r="O17" s="79" t="str">
        <f t="shared" si="5"/>
        <v/>
      </c>
      <c r="P17" s="79" t="str">
        <f t="shared" si="6"/>
        <v/>
      </c>
      <c r="Q17" s="60"/>
      <c r="R17" s="80"/>
      <c r="S17" s="71"/>
      <c r="T17" s="81" t="str">
        <f t="shared" si="7"/>
        <v/>
      </c>
      <c r="U17" s="82"/>
      <c r="V17" s="64"/>
      <c r="W17" s="83" t="str">
        <f>IFERROR(INDEX($B$5:$B$604,SUMPRODUCT(MATCH(1,($A$5:$A$604="A")*($N$5:$N$604=1)*($O$5:$O$604=13),0))),"")</f>
        <v/>
      </c>
      <c r="X17" s="64"/>
      <c r="Y17" s="83" t="str">
        <f>IFERROR(INDEX($B$5:$B$604,SUMPRODUCT(MATCH(1,($A$5:$A$604="B")*($N$5:$N$604=1)*($O$5:$O$604=13),0))),"")</f>
        <v>X12</v>
      </c>
      <c r="Z17" s="64"/>
      <c r="AA17" s="84" t="str">
        <f>IFERROR(INDEX($B$5:$B$604,SUMPRODUCT(MATCH(1,($A$5:$A$604="C")*($N$5:$N$604=1)*($O$5:$O$604=13),0))),"")</f>
        <v/>
      </c>
      <c r="AB17" s="85" t="str">
        <f>IF($T17="","",COUNTIFS($T$5:$T$44,"&lt;"&amp;$T17,$T$5:$T$44,"?*")+COUNTIF($T$5:$T17,$T17))</f>
        <v/>
      </c>
      <c r="AC17" s="86" t="str">
        <f t="shared" si="8"/>
        <v/>
      </c>
      <c r="AD17" s="64"/>
      <c r="AE17" s="87" t="str">
        <f>IFERROR(INDEX($B$5:$B$604,MATCH(13,$P$5:$P$604,0)),"")</f>
        <v/>
      </c>
      <c r="AF17" s="4"/>
      <c r="AL17" s="89" t="str">
        <f t="shared" ca="1" si="9"/>
        <v>ADMIN_Duomenys!$W$5:$W$12</v>
      </c>
    </row>
    <row r="18" spans="1:38" x14ac:dyDescent="0.3">
      <c r="A18" s="70" t="s">
        <v>42</v>
      </c>
      <c r="B18" s="71" t="s">
        <v>172</v>
      </c>
      <c r="C18" s="71" t="s">
        <v>173</v>
      </c>
      <c r="D18" s="71" t="s">
        <v>174</v>
      </c>
      <c r="E18" s="72">
        <v>0</v>
      </c>
      <c r="F18" s="73"/>
      <c r="G18" s="74"/>
      <c r="H18" s="75">
        <f t="shared" si="0"/>
        <v>3</v>
      </c>
      <c r="I18" s="16" t="str">
        <f t="shared" si="1"/>
        <v>Dovydas DUSEVIČIUS</v>
      </c>
      <c r="J18" s="76" t="str">
        <f t="shared" si="2"/>
        <v>A|BOWLY|3</v>
      </c>
      <c r="K18" s="77" t="str">
        <f t="shared" si="3"/>
        <v/>
      </c>
      <c r="L18" s="78" t="str">
        <f t="shared" si="4"/>
        <v/>
      </c>
      <c r="M18" s="4"/>
      <c r="N18" s="79">
        <f>IF(OR($A18="",$B18=""),0,IF(COUNTIFS($A$5:$A18,$A18,$B$5:$B18,$B18)=1,1,0))</f>
        <v>1</v>
      </c>
      <c r="O18" s="79">
        <f t="shared" si="5"/>
        <v>3</v>
      </c>
      <c r="P18" s="79" t="str">
        <f t="shared" si="6"/>
        <v/>
      </c>
      <c r="Q18" s="60"/>
      <c r="R18" s="80"/>
      <c r="S18" s="71"/>
      <c r="T18" s="81" t="str">
        <f t="shared" si="7"/>
        <v/>
      </c>
      <c r="U18" s="82"/>
      <c r="V18" s="64"/>
      <c r="W18" s="83" t="str">
        <f>IFERROR(INDEX($B$5:$B$604,SUMPRODUCT(MATCH(1,($A$5:$A$604="A")*($N$5:$N$604=1)*($O$5:$O$604=14),0))),"")</f>
        <v/>
      </c>
      <c r="X18" s="64"/>
      <c r="Y18" s="83" t="str">
        <f>IFERROR(INDEX($B$5:$B$604,SUMPRODUCT(MATCH(1,($A$5:$A$604="B")*($N$5:$N$604=1)*($O$5:$O$604=14),0))),"")</f>
        <v>YIT LIETUVA</v>
      </c>
      <c r="Z18" s="64"/>
      <c r="AA18" s="84" t="str">
        <f>IFERROR(INDEX($B$5:$B$604,SUMPRODUCT(MATCH(1,($A$5:$A$604="C")*($N$5:$N$604=1)*($O$5:$O$604=14),0))),"")</f>
        <v/>
      </c>
      <c r="AB18" s="85" t="str">
        <f>IF($T18="","",COUNTIFS($T$5:$T$44,"&lt;"&amp;$T18,$T$5:$T$44,"?*")+COUNTIF($T$5:$T18,$T18))</f>
        <v/>
      </c>
      <c r="AC18" s="86" t="str">
        <f t="shared" si="8"/>
        <v/>
      </c>
      <c r="AD18" s="64"/>
      <c r="AE18" s="87" t="str">
        <f>IFERROR(INDEX($B$5:$B$604,MATCH(14,$P$5:$P$604,0)),"")</f>
        <v/>
      </c>
      <c r="AF18" s="4"/>
      <c r="AL18" s="89" t="str">
        <f t="shared" ca="1" si="9"/>
        <v>ADMIN_Duomenys!$W$5:$W$12</v>
      </c>
    </row>
    <row r="19" spans="1:38" x14ac:dyDescent="0.3">
      <c r="A19" s="70" t="s">
        <v>42</v>
      </c>
      <c r="B19" s="71" t="s">
        <v>172</v>
      </c>
      <c r="C19" s="71" t="s">
        <v>144</v>
      </c>
      <c r="D19" s="71" t="s">
        <v>175</v>
      </c>
      <c r="E19" s="72">
        <v>0</v>
      </c>
      <c r="F19" s="73"/>
      <c r="G19" s="74"/>
      <c r="H19" s="75">
        <f t="shared" si="0"/>
        <v>2</v>
      </c>
      <c r="I19" s="16" t="str">
        <f t="shared" si="1"/>
        <v>Artūras FIODOROVAS</v>
      </c>
      <c r="J19" s="76" t="str">
        <f t="shared" si="2"/>
        <v>A|BOWLY|2</v>
      </c>
      <c r="K19" s="77" t="str">
        <f t="shared" si="3"/>
        <v/>
      </c>
      <c r="L19" s="78" t="str">
        <f t="shared" si="4"/>
        <v/>
      </c>
      <c r="M19" s="4"/>
      <c r="N19" s="79">
        <f>IF(OR($A19="",$B19=""),0,IF(COUNTIFS($A$5:$A19,$A19,$B$5:$B19,$B19)=1,1,0))</f>
        <v>0</v>
      </c>
      <c r="O19" s="79" t="str">
        <f t="shared" si="5"/>
        <v/>
      </c>
      <c r="P19" s="79" t="str">
        <f t="shared" si="6"/>
        <v/>
      </c>
      <c r="Q19" s="60"/>
      <c r="R19" s="80"/>
      <c r="S19" s="71"/>
      <c r="T19" s="81" t="str">
        <f t="shared" si="7"/>
        <v/>
      </c>
      <c r="U19" s="82"/>
      <c r="V19" s="64"/>
      <c r="W19" s="83" t="str">
        <f>IFERROR(INDEX($B$5:$B$604,SUMPRODUCT(MATCH(1,($A$5:$A$604="A")*($N$5:$N$604=1)*($O$5:$O$604=15),0))),"")</f>
        <v/>
      </c>
      <c r="X19" s="64"/>
      <c r="Y19" s="83" t="str">
        <f>IFERROR(INDEX($B$5:$B$604,SUMPRODUCT(MATCH(1,($A$5:$A$604="B")*($N$5:$N$604=1)*($O$5:$O$604=15),0))),"")</f>
        <v/>
      </c>
      <c r="Z19" s="64"/>
      <c r="AA19" s="84" t="str">
        <f>IFERROR(INDEX($B$5:$B$604,SUMPRODUCT(MATCH(1,($A$5:$A$604="C")*($N$5:$N$604=1)*($O$5:$O$604=15),0))),"")</f>
        <v/>
      </c>
      <c r="AB19" s="85" t="str">
        <f>IF($T19="","",COUNTIFS($T$5:$T$44,"&lt;"&amp;$T19,$T$5:$T$44,"?*")+COUNTIF($T$5:$T19,$T19))</f>
        <v/>
      </c>
      <c r="AC19" s="86" t="str">
        <f t="shared" si="8"/>
        <v/>
      </c>
      <c r="AD19" s="64"/>
      <c r="AE19" s="87" t="str">
        <f>IFERROR(INDEX($B$5:$B$604,MATCH(15,$P$5:$P$604,0)),"")</f>
        <v/>
      </c>
      <c r="AF19" s="4"/>
      <c r="AL19" s="89" t="str">
        <f t="shared" ca="1" si="9"/>
        <v>ADMIN_Duomenys!$W$5:$W$12</v>
      </c>
    </row>
    <row r="20" spans="1:38" x14ac:dyDescent="0.3">
      <c r="A20" s="70" t="s">
        <v>42</v>
      </c>
      <c r="B20" s="71" t="s">
        <v>172</v>
      </c>
      <c r="C20" s="71" t="s">
        <v>176</v>
      </c>
      <c r="D20" s="71" t="s">
        <v>177</v>
      </c>
      <c r="E20" s="72">
        <v>0</v>
      </c>
      <c r="F20" s="73"/>
      <c r="G20" s="74"/>
      <c r="H20" s="75">
        <f t="shared" si="0"/>
        <v>1</v>
      </c>
      <c r="I20" s="16" t="str">
        <f t="shared" si="1"/>
        <v>Alex JOKI</v>
      </c>
      <c r="J20" s="76" t="str">
        <f t="shared" si="2"/>
        <v>A|BOWLY|1</v>
      </c>
      <c r="K20" s="77" t="str">
        <f t="shared" si="3"/>
        <v/>
      </c>
      <c r="L20" s="78" t="str">
        <f t="shared" si="4"/>
        <v/>
      </c>
      <c r="M20" s="4"/>
      <c r="N20" s="79">
        <f>IF(OR($A20="",$B20=""),0,IF(COUNTIFS($A$5:$A20,$A20,$B$5:$B20,$B20)=1,1,0))</f>
        <v>0</v>
      </c>
      <c r="O20" s="79" t="str">
        <f t="shared" si="5"/>
        <v/>
      </c>
      <c r="P20" s="79" t="str">
        <f t="shared" si="6"/>
        <v/>
      </c>
      <c r="Q20" s="60"/>
      <c r="R20" s="80"/>
      <c r="S20" s="71"/>
      <c r="T20" s="81" t="str">
        <f t="shared" si="7"/>
        <v/>
      </c>
      <c r="U20" s="82"/>
      <c r="V20" s="64"/>
      <c r="W20" s="83" t="str">
        <f>IFERROR(INDEX($B$5:$B$604,SUMPRODUCT(MATCH(1,($A$5:$A$604="A")*($N$5:$N$604=1)*($O$5:$O$604=16),0))),"")</f>
        <v/>
      </c>
      <c r="X20" s="64"/>
      <c r="Y20" s="83" t="str">
        <f>IFERROR(INDEX($B$5:$B$604,SUMPRODUCT(MATCH(1,($A$5:$A$604="B")*($N$5:$N$604=1)*($O$5:$O$604=16),0))),"")</f>
        <v/>
      </c>
      <c r="Z20" s="64"/>
      <c r="AA20" s="84" t="str">
        <f>IFERROR(INDEX($B$5:$B$604,SUMPRODUCT(MATCH(1,($A$5:$A$604="C")*($N$5:$N$604=1)*($O$5:$O$604=16),0))),"")</f>
        <v/>
      </c>
      <c r="AB20" s="85" t="str">
        <f>IF($T20="","",COUNTIFS($T$5:$T$44,"&lt;"&amp;$T20,$T$5:$T$44,"?*")+COUNTIF($T$5:$T20,$T20))</f>
        <v/>
      </c>
      <c r="AC20" s="86" t="str">
        <f t="shared" si="8"/>
        <v/>
      </c>
      <c r="AD20" s="64"/>
      <c r="AE20" s="87" t="str">
        <f>IFERROR(INDEX($B$5:$B$604,MATCH(16,$P$5:$P$604,0)),"")</f>
        <v/>
      </c>
      <c r="AF20" s="4"/>
      <c r="AL20" s="89" t="str">
        <f t="shared" ca="1" si="9"/>
        <v>ADMIN_Duomenys!$W$5:$W$12</v>
      </c>
    </row>
    <row r="21" spans="1:38" x14ac:dyDescent="0.3">
      <c r="A21" s="70" t="s">
        <v>42</v>
      </c>
      <c r="B21" s="71" t="s">
        <v>172</v>
      </c>
      <c r="C21" s="71" t="s">
        <v>178</v>
      </c>
      <c r="D21" s="71" t="s">
        <v>179</v>
      </c>
      <c r="E21" s="72">
        <v>0</v>
      </c>
      <c r="F21" s="73"/>
      <c r="G21" s="74"/>
      <c r="H21" s="75">
        <f t="shared" si="0"/>
        <v>7</v>
      </c>
      <c r="I21" s="16" t="str">
        <f t="shared" si="1"/>
        <v>Tomas JONAITIS</v>
      </c>
      <c r="J21" s="76" t="str">
        <f t="shared" si="2"/>
        <v>A|BOWLY|7</v>
      </c>
      <c r="K21" s="77" t="str">
        <f t="shared" si="3"/>
        <v/>
      </c>
      <c r="L21" s="78" t="str">
        <f t="shared" si="4"/>
        <v/>
      </c>
      <c r="M21" s="4"/>
      <c r="N21" s="79">
        <f>IF(OR($A21="",$B21=""),0,IF(COUNTIFS($A$5:$A21,$A21,$B$5:$B21,$B21)=1,1,0))</f>
        <v>0</v>
      </c>
      <c r="O21" s="79" t="str">
        <f t="shared" si="5"/>
        <v/>
      </c>
      <c r="P21" s="79" t="str">
        <f t="shared" si="6"/>
        <v/>
      </c>
      <c r="Q21" s="60"/>
      <c r="R21" s="80"/>
      <c r="S21" s="71"/>
      <c r="T21" s="81" t="str">
        <f t="shared" si="7"/>
        <v/>
      </c>
      <c r="U21" s="82"/>
      <c r="V21" s="64"/>
      <c r="W21" s="83" t="str">
        <f>IFERROR(INDEX($B$5:$B$604,SUMPRODUCT(MATCH(1,($A$5:$A$604="A")*($N$5:$N$604=1)*($O$5:$O$604=17),0))),"")</f>
        <v/>
      </c>
      <c r="X21" s="64"/>
      <c r="Y21" s="83" t="str">
        <f>IFERROR(INDEX($B$5:$B$604,SUMPRODUCT(MATCH(1,($A$5:$A$604="B")*($N$5:$N$604=1)*($O$5:$O$604=17),0))),"")</f>
        <v/>
      </c>
      <c r="Z21" s="64"/>
      <c r="AA21" s="84" t="str">
        <f>IFERROR(INDEX($B$5:$B$604,SUMPRODUCT(MATCH(1,($A$5:$A$604="C")*($N$5:$N$604=1)*($O$5:$O$604=17),0))),"")</f>
        <v/>
      </c>
      <c r="AB21" s="85" t="str">
        <f>IF($T21="","",COUNTIFS($T$5:$T$44,"&lt;"&amp;$T21,$T$5:$T$44,"?*")+COUNTIF($T$5:$T21,$T21))</f>
        <v/>
      </c>
      <c r="AC21" s="86" t="str">
        <f t="shared" si="8"/>
        <v/>
      </c>
      <c r="AD21" s="64"/>
      <c r="AE21" s="87" t="str">
        <f>IFERROR(INDEX($B$5:$B$604,MATCH(17,$P$5:$P$604,0)),"")</f>
        <v/>
      </c>
      <c r="AF21" s="4"/>
      <c r="AL21" s="89" t="str">
        <f t="shared" ca="1" si="9"/>
        <v>ADMIN_Duomenys!$W$5:$W$12</v>
      </c>
    </row>
    <row r="22" spans="1:38" x14ac:dyDescent="0.3">
      <c r="A22" s="70" t="s">
        <v>42</v>
      </c>
      <c r="B22" s="71" t="s">
        <v>172</v>
      </c>
      <c r="C22" s="71" t="s">
        <v>183</v>
      </c>
      <c r="D22" s="71" t="s">
        <v>184</v>
      </c>
      <c r="E22" s="72">
        <v>0</v>
      </c>
      <c r="F22" s="73"/>
      <c r="G22" s="74"/>
      <c r="H22" s="75">
        <f t="shared" si="0"/>
        <v>4</v>
      </c>
      <c r="I22" s="16" t="str">
        <f t="shared" si="1"/>
        <v>Justas LISAUSKAS</v>
      </c>
      <c r="J22" s="76" t="str">
        <f t="shared" si="2"/>
        <v>A|BOWLY|4</v>
      </c>
      <c r="K22" s="77" t="str">
        <f t="shared" si="3"/>
        <v/>
      </c>
      <c r="L22" s="78" t="str">
        <f t="shared" si="4"/>
        <v/>
      </c>
      <c r="M22" s="4"/>
      <c r="N22" s="79">
        <f>IF(OR($A22="",$B22=""),0,IF(COUNTIFS($A$5:$A22,$A22,$B$5:$B22,$B22)=1,1,0))</f>
        <v>0</v>
      </c>
      <c r="O22" s="79" t="str">
        <f t="shared" si="5"/>
        <v/>
      </c>
      <c r="P22" s="79" t="str">
        <f t="shared" si="6"/>
        <v/>
      </c>
      <c r="Q22" s="60"/>
      <c r="R22" s="80"/>
      <c r="S22" s="71"/>
      <c r="T22" s="81" t="str">
        <f t="shared" si="7"/>
        <v/>
      </c>
      <c r="U22" s="82"/>
      <c r="V22" s="64"/>
      <c r="W22" s="83" t="str">
        <f>IFERROR(INDEX($B$5:$B$604,SUMPRODUCT(MATCH(1,($A$5:$A$604="A")*($N$5:$N$604=1)*($O$5:$O$604=18),0))),"")</f>
        <v/>
      </c>
      <c r="X22" s="64"/>
      <c r="Y22" s="83" t="str">
        <f>IFERROR(INDEX($B$5:$B$604,SUMPRODUCT(MATCH(1,($A$5:$A$604="B")*($N$5:$N$604=1)*($O$5:$O$604=18),0))),"")</f>
        <v/>
      </c>
      <c r="Z22" s="64"/>
      <c r="AA22" s="84" t="str">
        <f>IFERROR(INDEX($B$5:$B$604,SUMPRODUCT(MATCH(1,($A$5:$A$604="C")*($N$5:$N$604=1)*($O$5:$O$604=18),0))),"")</f>
        <v/>
      </c>
      <c r="AB22" s="85" t="str">
        <f>IF($T22="","",COUNTIFS($T$5:$T$44,"&lt;"&amp;$T22,$T$5:$T$44,"?*")+COUNTIF($T$5:$T22,$T22))</f>
        <v/>
      </c>
      <c r="AC22" s="86" t="str">
        <f t="shared" si="8"/>
        <v/>
      </c>
      <c r="AD22" s="64"/>
      <c r="AE22" s="87" t="str">
        <f>IFERROR(INDEX($B$5:$B$604,MATCH(18,$P$5:$P$604,0)),"")</f>
        <v/>
      </c>
      <c r="AF22" s="4"/>
      <c r="AL22" s="89" t="str">
        <f t="shared" ca="1" si="9"/>
        <v>ADMIN_Duomenys!$W$5:$W$12</v>
      </c>
    </row>
    <row r="23" spans="1:38" x14ac:dyDescent="0.3">
      <c r="A23" s="70" t="s">
        <v>42</v>
      </c>
      <c r="B23" s="71" t="s">
        <v>172</v>
      </c>
      <c r="C23" s="71" t="s">
        <v>180</v>
      </c>
      <c r="D23" s="71" t="s">
        <v>181</v>
      </c>
      <c r="E23" s="72">
        <v>0</v>
      </c>
      <c r="F23" s="73"/>
      <c r="G23" s="74"/>
      <c r="H23" s="75">
        <f t="shared" si="0"/>
        <v>5</v>
      </c>
      <c r="I23" s="16" t="str">
        <f t="shared" si="1"/>
        <v>Lukas SEVELIN</v>
      </c>
      <c r="J23" s="76" t="str">
        <f t="shared" si="2"/>
        <v>A|BOWLY|5</v>
      </c>
      <c r="K23" s="77" t="str">
        <f t="shared" si="3"/>
        <v/>
      </c>
      <c r="L23" s="78" t="str">
        <f t="shared" si="4"/>
        <v/>
      </c>
      <c r="M23" s="4"/>
      <c r="N23" s="79">
        <f>IF(OR($A23="",$B23=""),0,IF(COUNTIFS($A$5:$A23,$A23,$B$5:$B23,$B23)=1,1,0))</f>
        <v>0</v>
      </c>
      <c r="O23" s="79" t="str">
        <f t="shared" si="5"/>
        <v/>
      </c>
      <c r="P23" s="79" t="str">
        <f t="shared" si="6"/>
        <v/>
      </c>
      <c r="Q23" s="60"/>
      <c r="R23" s="80"/>
      <c r="S23" s="71"/>
      <c r="T23" s="81" t="str">
        <f t="shared" si="7"/>
        <v/>
      </c>
      <c r="U23" s="82"/>
      <c r="V23" s="64"/>
      <c r="W23" s="83" t="str">
        <f>IFERROR(INDEX($B$5:$B$604,SUMPRODUCT(MATCH(1,($A$5:$A$604="A")*($N$5:$N$604=1)*($O$5:$O$604=19),0))),"")</f>
        <v/>
      </c>
      <c r="X23" s="64"/>
      <c r="Y23" s="83" t="str">
        <f>IFERROR(INDEX($B$5:$B$604,SUMPRODUCT(MATCH(1,($A$5:$A$604="B")*($N$5:$N$604=1)*($O$5:$O$604=19),0))),"")</f>
        <v/>
      </c>
      <c r="Z23" s="64"/>
      <c r="AA23" s="84" t="str">
        <f>IFERROR(INDEX($B$5:$B$604,SUMPRODUCT(MATCH(1,($A$5:$A$604="C")*($N$5:$N$604=1)*($O$5:$O$604=19),0))),"")</f>
        <v/>
      </c>
      <c r="AB23" s="85" t="str">
        <f>IF($T23="","",COUNTIFS($T$5:$T$44,"&lt;"&amp;$T23,$T$5:$T$44,"?*")+COUNTIF($T$5:$T23,$T23))</f>
        <v/>
      </c>
      <c r="AC23" s="86" t="str">
        <f t="shared" si="8"/>
        <v/>
      </c>
      <c r="AD23" s="64"/>
      <c r="AE23" s="87" t="str">
        <f>IFERROR(INDEX($B$5:$B$604,MATCH(19,$P$5:$P$604,0)),"")</f>
        <v/>
      </c>
      <c r="AF23" s="4"/>
      <c r="AL23" s="89" t="str">
        <f t="shared" ca="1" si="9"/>
        <v>ADMIN_Duomenys!$W$5:$W$12</v>
      </c>
    </row>
    <row r="24" spans="1:38" x14ac:dyDescent="0.3">
      <c r="A24" s="70" t="s">
        <v>42</v>
      </c>
      <c r="B24" s="71" t="s">
        <v>172</v>
      </c>
      <c r="C24" s="71" t="s">
        <v>139</v>
      </c>
      <c r="D24" s="71" t="s">
        <v>182</v>
      </c>
      <c r="E24" s="72">
        <v>0</v>
      </c>
      <c r="F24" s="73"/>
      <c r="G24" s="74"/>
      <c r="H24" s="75">
        <f t="shared" si="0"/>
        <v>6</v>
      </c>
      <c r="I24" s="16" t="str">
        <f t="shared" si="1"/>
        <v>Marius STEPONAVIČIUS</v>
      </c>
      <c r="J24" s="76" t="str">
        <f t="shared" si="2"/>
        <v>A|BOWLY|6</v>
      </c>
      <c r="K24" s="77" t="str">
        <f t="shared" si="3"/>
        <v/>
      </c>
      <c r="L24" s="78" t="str">
        <f t="shared" si="4"/>
        <v/>
      </c>
      <c r="M24" s="4"/>
      <c r="N24" s="79">
        <f>IF(OR($A24="",$B24=""),0,IF(COUNTIFS($A$5:$A24,$A24,$B$5:$B24,$B24)=1,1,0))</f>
        <v>0</v>
      </c>
      <c r="O24" s="79" t="str">
        <f t="shared" si="5"/>
        <v/>
      </c>
      <c r="P24" s="79" t="str">
        <f t="shared" si="6"/>
        <v/>
      </c>
      <c r="Q24" s="60"/>
      <c r="R24" s="80"/>
      <c r="S24" s="71"/>
      <c r="T24" s="81" t="str">
        <f t="shared" si="7"/>
        <v/>
      </c>
      <c r="U24" s="82"/>
      <c r="V24" s="64"/>
      <c r="W24" s="83" t="str">
        <f>IFERROR(INDEX($B$5:$B$604,SUMPRODUCT(MATCH(1,($A$5:$A$604="A")*($N$5:$N$604=1)*($O$5:$O$604=20),0))),"")</f>
        <v/>
      </c>
      <c r="X24" s="64"/>
      <c r="Y24" s="83" t="str">
        <f>IFERROR(INDEX($B$5:$B$604,SUMPRODUCT(MATCH(1,($A$5:$A$604="B")*($N$5:$N$604=1)*($O$5:$O$604=20),0))),"")</f>
        <v/>
      </c>
      <c r="Z24" s="64"/>
      <c r="AA24" s="84" t="str">
        <f>IFERROR(INDEX($B$5:$B$604,SUMPRODUCT(MATCH(1,($A$5:$A$604="C")*($N$5:$N$604=1)*($O$5:$O$604=20),0))),"")</f>
        <v/>
      </c>
      <c r="AB24" s="85" t="str">
        <f>IF($T24="","",COUNTIFS($T$5:$T$44,"&lt;"&amp;$T24,$T$5:$T$44,"?*")+COUNTIF($T$5:$T24,$T24))</f>
        <v/>
      </c>
      <c r="AC24" s="86" t="str">
        <f t="shared" si="8"/>
        <v/>
      </c>
      <c r="AD24" s="64"/>
      <c r="AE24" s="87" t="str">
        <f>IFERROR(INDEX($B$5:$B$604,MATCH(20,$P$5:$P$604,0)),"")</f>
        <v/>
      </c>
      <c r="AF24" s="4"/>
      <c r="AL24" s="89" t="str">
        <f t="shared" ca="1" si="9"/>
        <v>ADMIN_Duomenys!$W$5:$W$12</v>
      </c>
    </row>
    <row r="25" spans="1:38" x14ac:dyDescent="0.3">
      <c r="A25" s="70" t="s">
        <v>42</v>
      </c>
      <c r="B25" s="71" t="s">
        <v>185</v>
      </c>
      <c r="C25" s="71" t="s">
        <v>186</v>
      </c>
      <c r="D25" s="71" t="s">
        <v>187</v>
      </c>
      <c r="E25" s="72">
        <v>0</v>
      </c>
      <c r="F25" s="73"/>
      <c r="G25" s="74"/>
      <c r="H25" s="75">
        <f t="shared" si="0"/>
        <v>4</v>
      </c>
      <c r="I25" s="16" t="str">
        <f t="shared" si="1"/>
        <v>Rolandas ČEBATORIŪNAS</v>
      </c>
      <c r="J25" s="76" t="str">
        <f t="shared" si="2"/>
        <v>A|IMAGAMIS|4</v>
      </c>
      <c r="K25" s="77" t="str">
        <f t="shared" si="3"/>
        <v/>
      </c>
      <c r="L25" s="78" t="str">
        <f t="shared" si="4"/>
        <v/>
      </c>
      <c r="M25" s="4"/>
      <c r="N25" s="79">
        <f>IF(OR($A25="",$B25=""),0,IF(COUNTIFS($A$5:$A25,$A25,$B$5:$B25,$B25)=1,1,0))</f>
        <v>1</v>
      </c>
      <c r="O25" s="79">
        <f t="shared" si="5"/>
        <v>4</v>
      </c>
      <c r="P25" s="79" t="str">
        <f t="shared" si="6"/>
        <v/>
      </c>
      <c r="Q25" s="60"/>
      <c r="R25" s="80"/>
      <c r="S25" s="71"/>
      <c r="T25" s="81" t="str">
        <f t="shared" si="7"/>
        <v/>
      </c>
      <c r="U25" s="82"/>
      <c r="V25" s="64"/>
      <c r="W25" s="83" t="str">
        <f>IFERROR(INDEX($B$5:$B$604,SUMPRODUCT(MATCH(1,($A$5:$A$604="A")*($N$5:$N$604=1)*($O$5:$O$604=21),0))),"")</f>
        <v/>
      </c>
      <c r="X25" s="64"/>
      <c r="Y25" s="83" t="str">
        <f>IFERROR(INDEX($B$5:$B$604,SUMPRODUCT(MATCH(1,($A$5:$A$604="B")*($N$5:$N$604=1)*($O$5:$O$604=21),0))),"")</f>
        <v/>
      </c>
      <c r="Z25" s="64"/>
      <c r="AA25" s="84" t="str">
        <f>IFERROR(INDEX($B$5:$B$604,SUMPRODUCT(MATCH(1,($A$5:$A$604="C")*($N$5:$N$604=1)*($O$5:$O$604=21),0))),"")</f>
        <v/>
      </c>
      <c r="AB25" s="85" t="str">
        <f>IF($T25="","",COUNTIFS($T$5:$T$44,"&lt;"&amp;$T25,$T$5:$T$44,"?*")+COUNTIF($T$5:$T25,$T25))</f>
        <v/>
      </c>
      <c r="AC25" s="86" t="str">
        <f t="shared" si="8"/>
        <v/>
      </c>
      <c r="AD25" s="64"/>
      <c r="AE25" s="87" t="str">
        <f>IFERROR(INDEX($B$5:$B$604,MATCH(21,$P$5:$P$604,0)),"")</f>
        <v/>
      </c>
      <c r="AF25" s="4"/>
      <c r="AL25" s="89" t="str">
        <f t="shared" ca="1" si="9"/>
        <v>ADMIN_Duomenys!$W$5:$W$12</v>
      </c>
    </row>
    <row r="26" spans="1:38" x14ac:dyDescent="0.3">
      <c r="A26" s="70" t="s">
        <v>42</v>
      </c>
      <c r="B26" s="71" t="s">
        <v>185</v>
      </c>
      <c r="C26" s="71" t="s">
        <v>188</v>
      </c>
      <c r="D26" s="71" t="s">
        <v>189</v>
      </c>
      <c r="E26" s="72">
        <v>0</v>
      </c>
      <c r="F26" s="73"/>
      <c r="G26" s="74"/>
      <c r="H26" s="75">
        <f t="shared" si="0"/>
        <v>1</v>
      </c>
      <c r="I26" s="16" t="str">
        <f t="shared" si="1"/>
        <v>Algirdas JAGNIEŠKUS</v>
      </c>
      <c r="J26" s="76" t="str">
        <f t="shared" si="2"/>
        <v>A|IMAGAMIS|1</v>
      </c>
      <c r="K26" s="77" t="str">
        <f t="shared" si="3"/>
        <v/>
      </c>
      <c r="L26" s="78" t="str">
        <f t="shared" si="4"/>
        <v/>
      </c>
      <c r="M26" s="4"/>
      <c r="N26" s="79">
        <f>IF(OR($A26="",$B26=""),0,IF(COUNTIFS($A$5:$A26,$A26,$B$5:$B26,$B26)=1,1,0))</f>
        <v>0</v>
      </c>
      <c r="O26" s="79" t="str">
        <f t="shared" si="5"/>
        <v/>
      </c>
      <c r="P26" s="79" t="str">
        <f t="shared" si="6"/>
        <v/>
      </c>
      <c r="Q26" s="60"/>
      <c r="R26" s="80"/>
      <c r="S26" s="71"/>
      <c r="T26" s="81" t="str">
        <f t="shared" si="7"/>
        <v/>
      </c>
      <c r="U26" s="82"/>
      <c r="V26" s="64"/>
      <c r="W26" s="83" t="str">
        <f>IFERROR(INDEX($B$5:$B$604,SUMPRODUCT(MATCH(1,($A$5:$A$604="A")*($N$5:$N$604=1)*($O$5:$O$604=22),0))),"")</f>
        <v/>
      </c>
      <c r="X26" s="64"/>
      <c r="Y26" s="83" t="str">
        <f>IFERROR(INDEX($B$5:$B$604,SUMPRODUCT(MATCH(1,($A$5:$A$604="B")*($N$5:$N$604=1)*($O$5:$O$604=22),0))),"")</f>
        <v/>
      </c>
      <c r="Z26" s="64"/>
      <c r="AA26" s="84" t="str">
        <f>IFERROR(INDEX($B$5:$B$604,SUMPRODUCT(MATCH(1,($A$5:$A$604="C")*($N$5:$N$604=1)*($O$5:$O$604=22),0))),"")</f>
        <v/>
      </c>
      <c r="AB26" s="85" t="str">
        <f>IF($T26="","",COUNTIFS($T$5:$T$44,"&lt;"&amp;$T26,$T$5:$T$44,"?*")+COUNTIF($T$5:$T26,$T26))</f>
        <v/>
      </c>
      <c r="AC26" s="86" t="str">
        <f t="shared" si="8"/>
        <v/>
      </c>
      <c r="AD26" s="64"/>
      <c r="AE26" s="87" t="str">
        <f>IFERROR(INDEX($B$5:$B$604,MATCH(22,$P$5:$P$604,0)),"")</f>
        <v/>
      </c>
      <c r="AF26" s="4"/>
      <c r="AL26" s="89" t="str">
        <f t="shared" ca="1" si="9"/>
        <v>ADMIN_Duomenys!$W$5:$W$12</v>
      </c>
    </row>
    <row r="27" spans="1:38" x14ac:dyDescent="0.3">
      <c r="A27" s="70" t="s">
        <v>42</v>
      </c>
      <c r="B27" s="71" t="s">
        <v>185</v>
      </c>
      <c r="C27" s="71" t="s">
        <v>190</v>
      </c>
      <c r="D27" s="71" t="s">
        <v>191</v>
      </c>
      <c r="E27" s="72">
        <v>15</v>
      </c>
      <c r="F27" s="73"/>
      <c r="G27" s="74"/>
      <c r="H27" s="75">
        <f t="shared" si="0"/>
        <v>5</v>
      </c>
      <c r="I27" s="16" t="str">
        <f t="shared" si="1"/>
        <v>Skaimilė JAGNIEŠKUTĖ</v>
      </c>
      <c r="J27" s="76" t="str">
        <f t="shared" si="2"/>
        <v>A|IMAGAMIS|5</v>
      </c>
      <c r="K27" s="77" t="str">
        <f t="shared" si="3"/>
        <v/>
      </c>
      <c r="L27" s="78" t="str">
        <f t="shared" si="4"/>
        <v/>
      </c>
      <c r="M27" s="4"/>
      <c r="N27" s="79">
        <f>IF(OR($A27="",$B27=""),0,IF(COUNTIFS($A$5:$A27,$A27,$B$5:$B27,$B27)=1,1,0))</f>
        <v>0</v>
      </c>
      <c r="O27" s="79" t="str">
        <f t="shared" si="5"/>
        <v/>
      </c>
      <c r="P27" s="79" t="str">
        <f t="shared" si="6"/>
        <v/>
      </c>
      <c r="Q27" s="60"/>
      <c r="R27" s="80"/>
      <c r="S27" s="71"/>
      <c r="T27" s="81" t="str">
        <f t="shared" si="7"/>
        <v/>
      </c>
      <c r="U27" s="82"/>
      <c r="V27" s="64"/>
      <c r="W27" s="83" t="str">
        <f>IFERROR(INDEX($B$5:$B$604,SUMPRODUCT(MATCH(1,($A$5:$A$604="A")*($N$5:$N$604=1)*($O$5:$O$604=23),0))),"")</f>
        <v/>
      </c>
      <c r="X27" s="64"/>
      <c r="Y27" s="83" t="str">
        <f>IFERROR(INDEX($B$5:$B$604,SUMPRODUCT(MATCH(1,($A$5:$A$604="B")*($N$5:$N$604=1)*($O$5:$O$604=23),0))),"")</f>
        <v/>
      </c>
      <c r="Z27" s="64"/>
      <c r="AA27" s="84" t="str">
        <f>IFERROR(INDEX($B$5:$B$604,SUMPRODUCT(MATCH(1,($A$5:$A$604="C")*($N$5:$N$604=1)*($O$5:$O$604=23),0))),"")</f>
        <v/>
      </c>
      <c r="AB27" s="85" t="str">
        <f>IF($T27="","",COUNTIFS($T$5:$T$44,"&lt;"&amp;$T27,$T$5:$T$44,"?*")+COUNTIF($T$5:$T27,$T27))</f>
        <v/>
      </c>
      <c r="AC27" s="86" t="str">
        <f t="shared" si="8"/>
        <v/>
      </c>
      <c r="AD27" s="64"/>
      <c r="AE27" s="87" t="str">
        <f>IFERROR(INDEX($B$5:$B$604,MATCH(23,$P$5:$P$604,0)),"")</f>
        <v/>
      </c>
      <c r="AF27" s="4"/>
      <c r="AL27" s="89" t="str">
        <f t="shared" ca="1" si="9"/>
        <v>ADMIN_Duomenys!$W$5:$W$12</v>
      </c>
    </row>
    <row r="28" spans="1:38" x14ac:dyDescent="0.3">
      <c r="A28" s="70" t="s">
        <v>42</v>
      </c>
      <c r="B28" s="71" t="s">
        <v>185</v>
      </c>
      <c r="C28" s="71" t="s">
        <v>192</v>
      </c>
      <c r="D28" s="71" t="s">
        <v>193</v>
      </c>
      <c r="E28" s="72">
        <v>0</v>
      </c>
      <c r="F28" s="73"/>
      <c r="G28" s="74"/>
      <c r="H28" s="75">
        <f t="shared" si="0"/>
        <v>6</v>
      </c>
      <c r="I28" s="16" t="str">
        <f t="shared" si="1"/>
        <v>Vadim JUKOVIČ</v>
      </c>
      <c r="J28" s="76" t="str">
        <f t="shared" si="2"/>
        <v>A|IMAGAMIS|6</v>
      </c>
      <c r="K28" s="77" t="str">
        <f t="shared" si="3"/>
        <v/>
      </c>
      <c r="L28" s="78" t="str">
        <f t="shared" si="4"/>
        <v/>
      </c>
      <c r="M28" s="4"/>
      <c r="N28" s="79">
        <f>IF(OR($A28="",$B28=""),0,IF(COUNTIFS($A$5:$A28,$A28,$B$5:$B28,$B28)=1,1,0))</f>
        <v>0</v>
      </c>
      <c r="O28" s="79" t="str">
        <f t="shared" si="5"/>
        <v/>
      </c>
      <c r="P28" s="79" t="str">
        <f t="shared" si="6"/>
        <v/>
      </c>
      <c r="Q28" s="60"/>
      <c r="R28" s="80"/>
      <c r="S28" s="71"/>
      <c r="T28" s="81" t="str">
        <f t="shared" si="7"/>
        <v/>
      </c>
      <c r="U28" s="82"/>
      <c r="V28" s="64"/>
      <c r="W28" s="83" t="str">
        <f>IFERROR(INDEX($B$5:$B$604,SUMPRODUCT(MATCH(1,($A$5:$A$604="A")*($N$5:$N$604=1)*($O$5:$O$604=24),0))),"")</f>
        <v/>
      </c>
      <c r="X28" s="64"/>
      <c r="Y28" s="83" t="str">
        <f>IFERROR(INDEX($B$5:$B$604,SUMPRODUCT(MATCH(1,($A$5:$A$604="B")*($N$5:$N$604=1)*($O$5:$O$604=24),0))),"")</f>
        <v/>
      </c>
      <c r="Z28" s="64"/>
      <c r="AA28" s="84" t="str">
        <f>IFERROR(INDEX($B$5:$B$604,SUMPRODUCT(MATCH(1,($A$5:$A$604="C")*($N$5:$N$604=1)*($O$5:$O$604=24),0))),"")</f>
        <v/>
      </c>
      <c r="AB28" s="85" t="str">
        <f>IF($T28="","",COUNTIFS($T$5:$T$44,"&lt;"&amp;$T28,$T$5:$T$44,"?*")+COUNTIF($T$5:$T28,$T28))</f>
        <v/>
      </c>
      <c r="AC28" s="86" t="str">
        <f t="shared" si="8"/>
        <v/>
      </c>
      <c r="AD28" s="64"/>
      <c r="AE28" s="87" t="str">
        <f>IFERROR(INDEX($B$5:$B$604,MATCH(24,$P$5:$P$604,0)),"")</f>
        <v/>
      </c>
      <c r="AF28" s="4"/>
      <c r="AL28" s="89" t="str">
        <f t="shared" ca="1" si="9"/>
        <v>ADMIN_Duomenys!$W$5:$W$12</v>
      </c>
    </row>
    <row r="29" spans="1:38" x14ac:dyDescent="0.3">
      <c r="A29" s="70" t="s">
        <v>42</v>
      </c>
      <c r="B29" s="71" t="s">
        <v>185</v>
      </c>
      <c r="C29" s="71" t="s">
        <v>194</v>
      </c>
      <c r="D29" s="71" t="s">
        <v>195</v>
      </c>
      <c r="E29" s="72">
        <v>0</v>
      </c>
      <c r="F29" s="73"/>
      <c r="G29" s="74"/>
      <c r="H29" s="75">
        <f t="shared" si="0"/>
        <v>3</v>
      </c>
      <c r="I29" s="16" t="str">
        <f t="shared" si="1"/>
        <v>Kęstutis KLIMAVIČIUS</v>
      </c>
      <c r="J29" s="76" t="str">
        <f t="shared" si="2"/>
        <v>A|IMAGAMIS|3</v>
      </c>
      <c r="K29" s="77" t="str">
        <f t="shared" si="3"/>
        <v/>
      </c>
      <c r="L29" s="78" t="str">
        <f t="shared" si="4"/>
        <v/>
      </c>
      <c r="M29" s="4"/>
      <c r="N29" s="79">
        <f>IF(OR($A29="",$B29=""),0,IF(COUNTIFS($A$5:$A29,$A29,$B$5:$B29,$B29)=1,1,0))</f>
        <v>0</v>
      </c>
      <c r="O29" s="79" t="str">
        <f t="shared" si="5"/>
        <v/>
      </c>
      <c r="P29" s="79" t="str">
        <f t="shared" si="6"/>
        <v/>
      </c>
      <c r="Q29" s="60"/>
      <c r="R29" s="80"/>
      <c r="S29" s="71"/>
      <c r="T29" s="81" t="str">
        <f t="shared" si="7"/>
        <v/>
      </c>
      <c r="U29" s="82"/>
      <c r="V29" s="64"/>
      <c r="W29" s="83" t="str">
        <f>IFERROR(INDEX($B$5:$B$604,SUMPRODUCT(MATCH(1,($A$5:$A$604="A")*($N$5:$N$604=1)*($O$5:$O$604=25),0))),"")</f>
        <v/>
      </c>
      <c r="X29" s="64"/>
      <c r="Y29" s="83" t="str">
        <f>IFERROR(INDEX($B$5:$B$604,SUMPRODUCT(MATCH(1,($A$5:$A$604="B")*($N$5:$N$604=1)*($O$5:$O$604=25),0))),"")</f>
        <v/>
      </c>
      <c r="Z29" s="64"/>
      <c r="AA29" s="84" t="str">
        <f>IFERROR(INDEX($B$5:$B$604,SUMPRODUCT(MATCH(1,($A$5:$A$604="C")*($N$5:$N$604=1)*($O$5:$O$604=25),0))),"")</f>
        <v/>
      </c>
      <c r="AB29" s="85" t="str">
        <f>IF($T29="","",COUNTIFS($T$5:$T$44,"&lt;"&amp;$T29,$T$5:$T$44,"?*")+COUNTIF($T$5:$T29,$T29))</f>
        <v/>
      </c>
      <c r="AC29" s="86" t="str">
        <f t="shared" si="8"/>
        <v/>
      </c>
      <c r="AD29" s="64"/>
      <c r="AE29" s="87" t="str">
        <f>IFERROR(INDEX($B$5:$B$604,MATCH(25,$P$5:$P$604,0)),"")</f>
        <v/>
      </c>
      <c r="AF29" s="4"/>
      <c r="AL29" s="89" t="str">
        <f t="shared" ca="1" si="9"/>
        <v>ADMIN_Duomenys!$W$5:$W$12</v>
      </c>
    </row>
    <row r="30" spans="1:38" x14ac:dyDescent="0.3">
      <c r="A30" s="70" t="s">
        <v>42</v>
      </c>
      <c r="B30" s="71" t="s">
        <v>185</v>
      </c>
      <c r="C30" s="71" t="s">
        <v>196</v>
      </c>
      <c r="D30" s="71" t="s">
        <v>197</v>
      </c>
      <c r="E30" s="72">
        <v>0</v>
      </c>
      <c r="F30" s="73"/>
      <c r="G30" s="74"/>
      <c r="H30" s="75">
        <f t="shared" si="0"/>
        <v>7</v>
      </c>
      <c r="I30" s="16" t="str">
        <f t="shared" si="1"/>
        <v>Vaidotas KRENCIUS</v>
      </c>
      <c r="J30" s="76" t="str">
        <f t="shared" si="2"/>
        <v>A|IMAGAMIS|7</v>
      </c>
      <c r="K30" s="77" t="str">
        <f t="shared" si="3"/>
        <v/>
      </c>
      <c r="L30" s="78" t="str">
        <f t="shared" si="4"/>
        <v/>
      </c>
      <c r="M30" s="4"/>
      <c r="N30" s="79">
        <f>IF(OR($A30="",$B30=""),0,IF(COUNTIFS($A$5:$A30,$A30,$B$5:$B30,$B30)=1,1,0))</f>
        <v>0</v>
      </c>
      <c r="O30" s="79" t="str">
        <f t="shared" si="5"/>
        <v/>
      </c>
      <c r="P30" s="79" t="str">
        <f t="shared" si="6"/>
        <v/>
      </c>
      <c r="Q30" s="60"/>
      <c r="R30" s="80"/>
      <c r="S30" s="71"/>
      <c r="T30" s="81" t="str">
        <f t="shared" si="7"/>
        <v/>
      </c>
      <c r="U30" s="82"/>
      <c r="V30" s="64"/>
      <c r="W30" s="83" t="str">
        <f>IFERROR(INDEX($B$5:$B$604,SUMPRODUCT(MATCH(1,($A$5:$A$604="A")*($N$5:$N$604=1)*($O$5:$O$604=26),0))),"")</f>
        <v/>
      </c>
      <c r="X30" s="64"/>
      <c r="Y30" s="83" t="str">
        <f>IFERROR(INDEX($B$5:$B$604,SUMPRODUCT(MATCH(1,($A$5:$A$604="B")*($N$5:$N$604=1)*($O$5:$O$604=26),0))),"")</f>
        <v/>
      </c>
      <c r="Z30" s="64"/>
      <c r="AA30" s="84" t="str">
        <f>IFERROR(INDEX($B$5:$B$604,SUMPRODUCT(MATCH(1,($A$5:$A$604="C")*($N$5:$N$604=1)*($O$5:$O$604=26),0))),"")</f>
        <v/>
      </c>
      <c r="AB30" s="85" t="str">
        <f>IF($T30="","",COUNTIFS($T$5:$T$44,"&lt;"&amp;$T30,$T$5:$T$44,"?*")+COUNTIF($T$5:$T30,$T30))</f>
        <v/>
      </c>
      <c r="AC30" s="86" t="str">
        <f t="shared" si="8"/>
        <v/>
      </c>
      <c r="AD30" s="64"/>
      <c r="AE30" s="87" t="str">
        <f>IFERROR(INDEX($B$5:$B$604,MATCH(26,$P$5:$P$604,0)),"")</f>
        <v/>
      </c>
      <c r="AF30" s="4"/>
      <c r="AL30" s="89" t="str">
        <f t="shared" ca="1" si="9"/>
        <v>ADMIN_Duomenys!$W$5:$W$12</v>
      </c>
    </row>
    <row r="31" spans="1:38" x14ac:dyDescent="0.3">
      <c r="A31" s="70" t="s">
        <v>42</v>
      </c>
      <c r="B31" s="71" t="s">
        <v>185</v>
      </c>
      <c r="C31" s="71" t="s">
        <v>198</v>
      </c>
      <c r="D31" s="71" t="s">
        <v>199</v>
      </c>
      <c r="E31" s="72">
        <v>0</v>
      </c>
      <c r="F31" s="73"/>
      <c r="G31" s="74"/>
      <c r="H31" s="75">
        <f t="shared" si="0"/>
        <v>2</v>
      </c>
      <c r="I31" s="16" t="str">
        <f t="shared" si="1"/>
        <v>Girvidas NARAUSKAS</v>
      </c>
      <c r="J31" s="76" t="str">
        <f t="shared" si="2"/>
        <v>A|IMAGAMIS|2</v>
      </c>
      <c r="K31" s="77" t="str">
        <f t="shared" si="3"/>
        <v/>
      </c>
      <c r="L31" s="78" t="str">
        <f t="shared" si="4"/>
        <v/>
      </c>
      <c r="M31" s="4"/>
      <c r="N31" s="79">
        <f>IF(OR($A31="",$B31=""),0,IF(COUNTIFS($A$5:$A31,$A31,$B$5:$B31,$B31)=1,1,0))</f>
        <v>0</v>
      </c>
      <c r="O31" s="79" t="str">
        <f t="shared" si="5"/>
        <v/>
      </c>
      <c r="P31" s="79" t="str">
        <f t="shared" si="6"/>
        <v/>
      </c>
      <c r="Q31" s="60"/>
      <c r="R31" s="80"/>
      <c r="S31" s="71"/>
      <c r="T31" s="81" t="str">
        <f t="shared" si="7"/>
        <v/>
      </c>
      <c r="U31" s="82"/>
      <c r="V31" s="64"/>
      <c r="W31" s="83" t="str">
        <f>IFERROR(INDEX($B$5:$B$604,SUMPRODUCT(MATCH(1,($A$5:$A$604="A")*($N$5:$N$604=1)*($O$5:$O$604=27),0))),"")</f>
        <v/>
      </c>
      <c r="X31" s="64"/>
      <c r="Y31" s="83" t="str">
        <f>IFERROR(INDEX($B$5:$B$604,SUMPRODUCT(MATCH(1,($A$5:$A$604="B")*($N$5:$N$604=1)*($O$5:$O$604=27),0))),"")</f>
        <v/>
      </c>
      <c r="Z31" s="64"/>
      <c r="AA31" s="84" t="str">
        <f>IFERROR(INDEX($B$5:$B$604,SUMPRODUCT(MATCH(1,($A$5:$A$604="C")*($N$5:$N$604=1)*($O$5:$O$604=27),0))),"")</f>
        <v/>
      </c>
      <c r="AB31" s="85" t="str">
        <f>IF($T31="","",COUNTIFS($T$5:$T$44,"&lt;"&amp;$T31,$T$5:$T$44,"?*")+COUNTIF($T$5:$T31,$T31))</f>
        <v/>
      </c>
      <c r="AC31" s="86" t="str">
        <f t="shared" si="8"/>
        <v/>
      </c>
      <c r="AD31" s="64"/>
      <c r="AE31" s="87" t="str">
        <f>IFERROR(INDEX($B$5:$B$604,MATCH(27,$P$5:$P$604,0)),"")</f>
        <v/>
      </c>
      <c r="AF31" s="4"/>
      <c r="AL31" s="89" t="str">
        <f t="shared" ca="1" si="9"/>
        <v>ADMIN_Duomenys!$W$5:$W$12</v>
      </c>
    </row>
    <row r="32" spans="1:38" x14ac:dyDescent="0.3">
      <c r="A32" s="70" t="s">
        <v>42</v>
      </c>
      <c r="B32" s="71" t="s">
        <v>200</v>
      </c>
      <c r="C32" s="71" t="s">
        <v>201</v>
      </c>
      <c r="D32" s="71" t="s">
        <v>202</v>
      </c>
      <c r="E32" s="72">
        <v>0</v>
      </c>
      <c r="F32" s="73"/>
      <c r="G32" s="74"/>
      <c r="H32" s="75">
        <f t="shared" si="0"/>
        <v>1</v>
      </c>
      <c r="I32" s="16" t="str">
        <f t="shared" si="1"/>
        <v>Aurelijus BERŽANSKAS</v>
      </c>
      <c r="J32" s="76" t="str">
        <f t="shared" si="2"/>
        <v>A|KAUNO GRŪDAI|1</v>
      </c>
      <c r="K32" s="77" t="str">
        <f t="shared" si="3"/>
        <v/>
      </c>
      <c r="L32" s="78" t="str">
        <f t="shared" si="4"/>
        <v/>
      </c>
      <c r="M32" s="4"/>
      <c r="N32" s="79">
        <f>IF(OR($A32="",$B32=""),0,IF(COUNTIFS($A$5:$A32,$A32,$B$5:$B32,$B32)=1,1,0))</f>
        <v>1</v>
      </c>
      <c r="O32" s="79">
        <f t="shared" si="5"/>
        <v>5</v>
      </c>
      <c r="P32" s="79" t="str">
        <f t="shared" si="6"/>
        <v/>
      </c>
      <c r="Q32" s="60"/>
      <c r="R32" s="80"/>
      <c r="S32" s="71"/>
      <c r="T32" s="81" t="str">
        <f t="shared" si="7"/>
        <v/>
      </c>
      <c r="U32" s="82"/>
      <c r="V32" s="64"/>
      <c r="W32" s="83" t="str">
        <f>IFERROR(INDEX($B$5:$B$604,SUMPRODUCT(MATCH(1,($A$5:$A$604="A")*($N$5:$N$604=1)*($O$5:$O$604=28),0))),"")</f>
        <v/>
      </c>
      <c r="X32" s="64"/>
      <c r="Y32" s="83" t="str">
        <f>IFERROR(INDEX($B$5:$B$604,SUMPRODUCT(MATCH(1,($A$5:$A$604="B")*($N$5:$N$604=1)*($O$5:$O$604=28),0))),"")</f>
        <v/>
      </c>
      <c r="Z32" s="64"/>
      <c r="AA32" s="84" t="str">
        <f>IFERROR(INDEX($B$5:$B$604,SUMPRODUCT(MATCH(1,($A$5:$A$604="C")*($N$5:$N$604=1)*($O$5:$O$604=28),0))),"")</f>
        <v/>
      </c>
      <c r="AB32" s="85" t="str">
        <f>IF($T32="","",COUNTIFS($T$5:$T$44,"&lt;"&amp;$T32,$T$5:$T$44,"?*")+COUNTIF($T$5:$T32,$T32))</f>
        <v/>
      </c>
      <c r="AC32" s="86" t="str">
        <f t="shared" si="8"/>
        <v/>
      </c>
      <c r="AD32" s="64"/>
      <c r="AE32" s="87" t="str">
        <f>IFERROR(INDEX($B$5:$B$604,MATCH(28,$P$5:$P$604,0)),"")</f>
        <v/>
      </c>
      <c r="AF32" s="4"/>
      <c r="AL32" s="89" t="str">
        <f t="shared" ca="1" si="9"/>
        <v>ADMIN_Duomenys!$W$5:$W$12</v>
      </c>
    </row>
    <row r="33" spans="1:38" x14ac:dyDescent="0.3">
      <c r="A33" s="70" t="s">
        <v>42</v>
      </c>
      <c r="B33" s="71" t="s">
        <v>200</v>
      </c>
      <c r="C33" s="71" t="s">
        <v>203</v>
      </c>
      <c r="D33" s="71" t="s">
        <v>204</v>
      </c>
      <c r="E33" s="72">
        <v>0</v>
      </c>
      <c r="F33" s="73"/>
      <c r="G33" s="74"/>
      <c r="H33" s="75">
        <f t="shared" si="0"/>
        <v>3</v>
      </c>
      <c r="I33" s="16" t="str">
        <f t="shared" si="1"/>
        <v>Gytautas ČEPELIONIS</v>
      </c>
      <c r="J33" s="76" t="str">
        <f t="shared" si="2"/>
        <v>A|KAUNO GRŪDAI|3</v>
      </c>
      <c r="K33" s="77" t="str">
        <f t="shared" si="3"/>
        <v/>
      </c>
      <c r="L33" s="78" t="str">
        <f t="shared" si="4"/>
        <v/>
      </c>
      <c r="M33" s="4"/>
      <c r="N33" s="79">
        <f>IF(OR($A33="",$B33=""),0,IF(COUNTIFS($A$5:$A33,$A33,$B$5:$B33,$B33)=1,1,0))</f>
        <v>0</v>
      </c>
      <c r="O33" s="79" t="str">
        <f t="shared" si="5"/>
        <v/>
      </c>
      <c r="P33" s="79" t="str">
        <f t="shared" si="6"/>
        <v/>
      </c>
      <c r="Q33" s="60"/>
      <c r="R33" s="80"/>
      <c r="S33" s="71"/>
      <c r="T33" s="81" t="str">
        <f t="shared" si="7"/>
        <v/>
      </c>
      <c r="U33" s="82"/>
      <c r="V33" s="64"/>
      <c r="W33" s="83" t="str">
        <f>IFERROR(INDEX($B$5:$B$604,SUMPRODUCT(MATCH(1,($A$5:$A$604="A")*($N$5:$N$604=1)*($O$5:$O$604=29),0))),"")</f>
        <v/>
      </c>
      <c r="X33" s="64"/>
      <c r="Y33" s="83" t="str">
        <f>IFERROR(INDEX($B$5:$B$604,SUMPRODUCT(MATCH(1,($A$5:$A$604="B")*($N$5:$N$604=1)*($O$5:$O$604=29),0))),"")</f>
        <v/>
      </c>
      <c r="Z33" s="64"/>
      <c r="AA33" s="84" t="str">
        <f>IFERROR(INDEX($B$5:$B$604,SUMPRODUCT(MATCH(1,($A$5:$A$604="C")*($N$5:$N$604=1)*($O$5:$O$604=29),0))),"")</f>
        <v/>
      </c>
      <c r="AB33" s="85" t="str">
        <f>IF($T33="","",COUNTIFS($T$5:$T$44,"&lt;"&amp;$T33,$T$5:$T$44,"?*")+COUNTIF($T$5:$T33,$T33))</f>
        <v/>
      </c>
      <c r="AC33" s="86" t="str">
        <f t="shared" si="8"/>
        <v/>
      </c>
      <c r="AD33" s="64"/>
      <c r="AE33" s="87" t="str">
        <f>IFERROR(INDEX($B$5:$B$604,MATCH(29,$P$5:$P$604,0)),"")</f>
        <v/>
      </c>
      <c r="AF33" s="4"/>
      <c r="AL33" s="89" t="str">
        <f t="shared" ca="1" si="9"/>
        <v>ADMIN_Duomenys!$W$5:$W$12</v>
      </c>
    </row>
    <row r="34" spans="1:38" x14ac:dyDescent="0.3">
      <c r="A34" s="70" t="s">
        <v>42</v>
      </c>
      <c r="B34" s="71" t="s">
        <v>200</v>
      </c>
      <c r="C34" s="71" t="s">
        <v>205</v>
      </c>
      <c r="D34" s="71" t="s">
        <v>206</v>
      </c>
      <c r="E34" s="72">
        <v>5</v>
      </c>
      <c r="F34" s="73"/>
      <c r="G34" s="74"/>
      <c r="H34" s="75">
        <f t="shared" si="0"/>
        <v>7</v>
      </c>
      <c r="I34" s="16" t="str">
        <f t="shared" si="1"/>
        <v>Rimantas DAUBARAS</v>
      </c>
      <c r="J34" s="76" t="str">
        <f t="shared" si="2"/>
        <v>A|KAUNO GRŪDAI|7</v>
      </c>
      <c r="K34" s="77" t="str">
        <f t="shared" si="3"/>
        <v/>
      </c>
      <c r="L34" s="78" t="str">
        <f t="shared" si="4"/>
        <v/>
      </c>
      <c r="M34" s="4"/>
      <c r="N34" s="79">
        <f>IF(OR($A34="",$B34=""),0,IF(COUNTIFS($A$5:$A34,$A34,$B$5:$B34,$B34)=1,1,0))</f>
        <v>0</v>
      </c>
      <c r="O34" s="79" t="str">
        <f t="shared" si="5"/>
        <v/>
      </c>
      <c r="P34" s="79" t="str">
        <f t="shared" si="6"/>
        <v/>
      </c>
      <c r="Q34" s="60"/>
      <c r="R34" s="80"/>
      <c r="S34" s="71"/>
      <c r="T34" s="81" t="str">
        <f t="shared" si="7"/>
        <v/>
      </c>
      <c r="U34" s="82"/>
      <c r="V34" s="64"/>
      <c r="W34" s="83" t="str">
        <f>IFERROR(INDEX($B$5:$B$604,SUMPRODUCT(MATCH(1,($A$5:$A$604="A")*($N$5:$N$604=1)*($O$5:$O$604=30),0))),"")</f>
        <v/>
      </c>
      <c r="X34" s="64"/>
      <c r="Y34" s="83" t="str">
        <f>IFERROR(INDEX($B$5:$B$604,SUMPRODUCT(MATCH(1,($A$5:$A$604="B")*($N$5:$N$604=1)*($O$5:$O$604=30),0))),"")</f>
        <v/>
      </c>
      <c r="Z34" s="64"/>
      <c r="AA34" s="84" t="str">
        <f>IFERROR(INDEX($B$5:$B$604,SUMPRODUCT(MATCH(1,($A$5:$A$604="C")*($N$5:$N$604=1)*($O$5:$O$604=30),0))),"")</f>
        <v/>
      </c>
      <c r="AB34" s="85" t="str">
        <f>IF($T34="","",COUNTIFS($T$5:$T$44,"&lt;"&amp;$T34,$T$5:$T$44,"?*")+COUNTIF($T$5:$T34,$T34))</f>
        <v/>
      </c>
      <c r="AC34" s="86" t="str">
        <f t="shared" si="8"/>
        <v/>
      </c>
      <c r="AD34" s="64"/>
      <c r="AE34" s="87" t="str">
        <f>IFERROR(INDEX($B$5:$B$604,MATCH(30,$P$5:$P$604,0)),"")</f>
        <v/>
      </c>
      <c r="AF34" s="4"/>
      <c r="AL34" s="89" t="str">
        <f t="shared" ca="1" si="9"/>
        <v>ADMIN_Duomenys!$W$5:$W$12</v>
      </c>
    </row>
    <row r="35" spans="1:38" x14ac:dyDescent="0.3">
      <c r="A35" s="70" t="s">
        <v>42</v>
      </c>
      <c r="B35" s="71" t="s">
        <v>200</v>
      </c>
      <c r="C35" s="71" t="s">
        <v>207</v>
      </c>
      <c r="D35" s="71" t="s">
        <v>208</v>
      </c>
      <c r="E35" s="72">
        <v>8</v>
      </c>
      <c r="F35" s="73"/>
      <c r="G35" s="74"/>
      <c r="H35" s="75">
        <f t="shared" si="0"/>
        <v>2</v>
      </c>
      <c r="I35" s="16" t="str">
        <f t="shared" si="1"/>
        <v>Dalia DRAGŪNAITĖ</v>
      </c>
      <c r="J35" s="76" t="str">
        <f t="shared" si="2"/>
        <v>A|KAUNO GRŪDAI|2</v>
      </c>
      <c r="K35" s="77" t="str">
        <f t="shared" si="3"/>
        <v/>
      </c>
      <c r="L35" s="78" t="str">
        <f t="shared" si="4"/>
        <v/>
      </c>
      <c r="M35" s="4"/>
      <c r="N35" s="79">
        <f>IF(OR($A35="",$B35=""),0,IF(COUNTIFS($A$5:$A35,$A35,$B$5:$B35,$B35)=1,1,0))</f>
        <v>0</v>
      </c>
      <c r="O35" s="79" t="str">
        <f t="shared" si="5"/>
        <v/>
      </c>
      <c r="P35" s="79" t="str">
        <f t="shared" si="6"/>
        <v/>
      </c>
      <c r="Q35" s="60"/>
      <c r="R35" s="80"/>
      <c r="S35" s="71"/>
      <c r="T35" s="81" t="str">
        <f t="shared" si="7"/>
        <v/>
      </c>
      <c r="U35" s="82"/>
      <c r="V35" s="64"/>
      <c r="W35" s="83" t="str">
        <f>IFERROR(INDEX($B$5:$B$604,SUMPRODUCT(MATCH(1,($A$5:$A$604="A")*($N$5:$N$604=1)*($O$5:$O$604=31),0))),"")</f>
        <v/>
      </c>
      <c r="X35" s="64"/>
      <c r="Y35" s="83" t="str">
        <f>IFERROR(INDEX($B$5:$B$604,SUMPRODUCT(MATCH(1,($A$5:$A$604="B")*($N$5:$N$604=1)*($O$5:$O$604=31),0))),"")</f>
        <v/>
      </c>
      <c r="Z35" s="64"/>
      <c r="AA35" s="84" t="str">
        <f>IFERROR(INDEX($B$5:$B$604,SUMPRODUCT(MATCH(1,($A$5:$A$604="C")*($N$5:$N$604=1)*($O$5:$O$604=31),0))),"")</f>
        <v/>
      </c>
      <c r="AB35" s="85" t="str">
        <f>IF($T35="","",COUNTIFS($T$5:$T$44,"&lt;"&amp;$T35,$T$5:$T$44,"?*")+COUNTIF($T$5:$T35,$T35))</f>
        <v/>
      </c>
      <c r="AC35" s="86" t="str">
        <f t="shared" si="8"/>
        <v/>
      </c>
      <c r="AD35" s="64"/>
      <c r="AE35" s="87" t="str">
        <f>IFERROR(INDEX($B$5:$B$604,MATCH(31,$P$5:$P$604,0)),"")</f>
        <v/>
      </c>
      <c r="AF35" s="4"/>
      <c r="AL35" s="89" t="str">
        <f t="shared" ca="1" si="9"/>
        <v>ADMIN_Duomenys!$W$5:$W$12</v>
      </c>
    </row>
    <row r="36" spans="1:38" x14ac:dyDescent="0.3">
      <c r="A36" s="70" t="s">
        <v>42</v>
      </c>
      <c r="B36" s="71" t="s">
        <v>200</v>
      </c>
      <c r="C36" s="71" t="s">
        <v>209</v>
      </c>
      <c r="D36" s="71" t="s">
        <v>210</v>
      </c>
      <c r="E36" s="72">
        <v>0</v>
      </c>
      <c r="F36" s="73"/>
      <c r="G36" s="74"/>
      <c r="H36" s="75">
        <f t="shared" si="0"/>
        <v>6</v>
      </c>
      <c r="I36" s="16" t="str">
        <f t="shared" si="1"/>
        <v>Povilas KALVAITIS</v>
      </c>
      <c r="J36" s="76" t="str">
        <f t="shared" si="2"/>
        <v>A|KAUNO GRŪDAI|6</v>
      </c>
      <c r="K36" s="77" t="str">
        <f t="shared" si="3"/>
        <v/>
      </c>
      <c r="L36" s="78" t="str">
        <f t="shared" si="4"/>
        <v/>
      </c>
      <c r="M36" s="4"/>
      <c r="N36" s="79">
        <f>IF(OR($A36="",$B36=""),0,IF(COUNTIFS($A$5:$A36,$A36,$B$5:$B36,$B36)=1,1,0))</f>
        <v>0</v>
      </c>
      <c r="O36" s="79" t="str">
        <f t="shared" si="5"/>
        <v/>
      </c>
      <c r="P36" s="79" t="str">
        <f t="shared" si="6"/>
        <v/>
      </c>
      <c r="Q36" s="60"/>
      <c r="R36" s="80"/>
      <c r="S36" s="71"/>
      <c r="T36" s="81" t="str">
        <f t="shared" si="7"/>
        <v/>
      </c>
      <c r="U36" s="82"/>
      <c r="V36" s="64"/>
      <c r="W36" s="83" t="str">
        <f>IFERROR(INDEX($B$5:$B$604,SUMPRODUCT(MATCH(1,($A$5:$A$604="A")*($N$5:$N$604=1)*($O$5:$O$604=32),0))),"")</f>
        <v/>
      </c>
      <c r="X36" s="64"/>
      <c r="Y36" s="83" t="str">
        <f>IFERROR(INDEX($B$5:$B$604,SUMPRODUCT(MATCH(1,($A$5:$A$604="B")*($N$5:$N$604=1)*($O$5:$O$604=32),0))),"")</f>
        <v/>
      </c>
      <c r="Z36" s="64"/>
      <c r="AA36" s="84" t="str">
        <f>IFERROR(INDEX($B$5:$B$604,SUMPRODUCT(MATCH(1,($A$5:$A$604="C")*($N$5:$N$604=1)*($O$5:$O$604=32),0))),"")</f>
        <v/>
      </c>
      <c r="AB36" s="85" t="str">
        <f>IF($T36="","",COUNTIFS($T$5:$T$44,"&lt;"&amp;$T36,$T$5:$T$44,"?*")+COUNTIF($T$5:$T36,$T36))</f>
        <v/>
      </c>
      <c r="AC36" s="86" t="str">
        <f t="shared" si="8"/>
        <v/>
      </c>
      <c r="AD36" s="64"/>
      <c r="AE36" s="87" t="str">
        <f>IFERROR(INDEX($B$5:$B$604,MATCH(32,$P$5:$P$604,0)),"")</f>
        <v/>
      </c>
      <c r="AF36" s="4"/>
      <c r="AL36" s="89" t="str">
        <f t="shared" ca="1" si="9"/>
        <v>ADMIN_Duomenys!$W$5:$W$12</v>
      </c>
    </row>
    <row r="37" spans="1:38" x14ac:dyDescent="0.3">
      <c r="A37" s="70" t="s">
        <v>42</v>
      </c>
      <c r="B37" s="71" t="s">
        <v>200</v>
      </c>
      <c r="C37" s="71" t="s">
        <v>211</v>
      </c>
      <c r="D37" s="71" t="s">
        <v>212</v>
      </c>
      <c r="E37" s="72">
        <v>0</v>
      </c>
      <c r="F37" s="73"/>
      <c r="G37" s="74"/>
      <c r="H37" s="75">
        <f t="shared" si="0"/>
        <v>5</v>
      </c>
      <c r="I37" s="16" t="str">
        <f t="shared" si="1"/>
        <v>Klaudijus RIMKEVIČIUS</v>
      </c>
      <c r="J37" s="76" t="str">
        <f t="shared" si="2"/>
        <v>A|KAUNO GRŪDAI|5</v>
      </c>
      <c r="K37" s="77" t="str">
        <f t="shared" si="3"/>
        <v/>
      </c>
      <c r="L37" s="78" t="str">
        <f t="shared" si="4"/>
        <v/>
      </c>
      <c r="M37" s="4"/>
      <c r="N37" s="79">
        <f>IF(OR($A37="",$B37=""),0,IF(COUNTIFS($A$5:$A37,$A37,$B$5:$B37,$B37)=1,1,0))</f>
        <v>0</v>
      </c>
      <c r="O37" s="79" t="str">
        <f t="shared" si="5"/>
        <v/>
      </c>
      <c r="P37" s="79" t="str">
        <f t="shared" si="6"/>
        <v/>
      </c>
      <c r="Q37" s="60"/>
      <c r="R37" s="80"/>
      <c r="S37" s="71"/>
      <c r="T37" s="81" t="str">
        <f t="shared" si="7"/>
        <v/>
      </c>
      <c r="U37" s="82"/>
      <c r="V37" s="64"/>
      <c r="W37" s="83" t="str">
        <f>IFERROR(INDEX($B$5:$B$604,SUMPRODUCT(MATCH(1,($A$5:$A$604="A")*($N$5:$N$604=1)*($O$5:$O$604=33),0))),"")</f>
        <v/>
      </c>
      <c r="X37" s="64"/>
      <c r="Y37" s="83" t="str">
        <f>IFERROR(INDEX($B$5:$B$604,SUMPRODUCT(MATCH(1,($A$5:$A$604="B")*($N$5:$N$604=1)*($O$5:$O$604=33),0))),"")</f>
        <v/>
      </c>
      <c r="Z37" s="64"/>
      <c r="AA37" s="84" t="str">
        <f>IFERROR(INDEX($B$5:$B$604,SUMPRODUCT(MATCH(1,($A$5:$A$604="C")*($N$5:$N$604=1)*($O$5:$O$604=33),0))),"")</f>
        <v/>
      </c>
      <c r="AB37" s="85" t="str">
        <f>IF($T37="","",COUNTIFS($T$5:$T$44,"&lt;"&amp;$T37,$T$5:$T$44,"?*")+COUNTIF($T$5:$T37,$T37))</f>
        <v/>
      </c>
      <c r="AC37" s="86" t="str">
        <f t="shared" si="8"/>
        <v/>
      </c>
      <c r="AD37" s="64"/>
      <c r="AE37" s="87" t="str">
        <f>IFERROR(INDEX($B$5:$B$604,MATCH(33,$P$5:$P$604,0)),"")</f>
        <v/>
      </c>
      <c r="AF37" s="4"/>
      <c r="AL37" s="89" t="str">
        <f t="shared" ca="1" si="9"/>
        <v>ADMIN_Duomenys!$W$5:$W$12</v>
      </c>
    </row>
    <row r="38" spans="1:38" x14ac:dyDescent="0.3">
      <c r="A38" s="70" t="s">
        <v>42</v>
      </c>
      <c r="B38" s="71" t="s">
        <v>200</v>
      </c>
      <c r="C38" s="71" t="s">
        <v>194</v>
      </c>
      <c r="D38" s="71" t="s">
        <v>213</v>
      </c>
      <c r="E38" s="72">
        <v>0</v>
      </c>
      <c r="F38" s="73"/>
      <c r="G38" s="74"/>
      <c r="H38" s="75">
        <f t="shared" si="0"/>
        <v>4</v>
      </c>
      <c r="I38" s="16" t="str">
        <f t="shared" si="1"/>
        <v>Kęstutis ŽEMAITAITIS</v>
      </c>
      <c r="J38" s="76" t="str">
        <f t="shared" si="2"/>
        <v>A|KAUNO GRŪDAI|4</v>
      </c>
      <c r="K38" s="77" t="str">
        <f t="shared" si="3"/>
        <v/>
      </c>
      <c r="L38" s="78" t="str">
        <f t="shared" si="4"/>
        <v/>
      </c>
      <c r="M38" s="4"/>
      <c r="N38" s="79">
        <f>IF(OR($A38="",$B38=""),0,IF(COUNTIFS($A$5:$A38,$A38,$B$5:$B38,$B38)=1,1,0))</f>
        <v>0</v>
      </c>
      <c r="O38" s="79" t="str">
        <f t="shared" si="5"/>
        <v/>
      </c>
      <c r="P38" s="79" t="str">
        <f t="shared" si="6"/>
        <v/>
      </c>
      <c r="Q38" s="60"/>
      <c r="R38" s="80"/>
      <c r="S38" s="71"/>
      <c r="T38" s="81" t="str">
        <f t="shared" si="7"/>
        <v/>
      </c>
      <c r="U38" s="82"/>
      <c r="V38" s="64"/>
      <c r="W38" s="83" t="str">
        <f>IFERROR(INDEX($B$5:$B$604,SUMPRODUCT(MATCH(1,($A$5:$A$604="A")*($N$5:$N$604=1)*($O$5:$O$604=34),0))),"")</f>
        <v/>
      </c>
      <c r="X38" s="64"/>
      <c r="Y38" s="83" t="str">
        <f>IFERROR(INDEX($B$5:$B$604,SUMPRODUCT(MATCH(1,($A$5:$A$604="B")*($N$5:$N$604=1)*($O$5:$O$604=34),0))),"")</f>
        <v/>
      </c>
      <c r="Z38" s="64"/>
      <c r="AA38" s="84" t="str">
        <f>IFERROR(INDEX($B$5:$B$604,SUMPRODUCT(MATCH(1,($A$5:$A$604="C")*($N$5:$N$604=1)*($O$5:$O$604=34),0))),"")</f>
        <v/>
      </c>
      <c r="AB38" s="85" t="str">
        <f>IF($T38="","",COUNTIFS($T$5:$T$44,"&lt;"&amp;$T38,$T$5:$T$44,"?*")+COUNTIF($T$5:$T38,$T38))</f>
        <v/>
      </c>
      <c r="AC38" s="86" t="str">
        <f t="shared" si="8"/>
        <v/>
      </c>
      <c r="AD38" s="64"/>
      <c r="AE38" s="87" t="str">
        <f>IFERROR(INDEX($B$5:$B$604,MATCH(34,$P$5:$P$604,0)),"")</f>
        <v/>
      </c>
      <c r="AF38" s="4"/>
      <c r="AL38" s="89" t="str">
        <f t="shared" ca="1" si="9"/>
        <v>ADMIN_Duomenys!$W$5:$W$12</v>
      </c>
    </row>
    <row r="39" spans="1:38" x14ac:dyDescent="0.3">
      <c r="A39" s="70" t="s">
        <v>42</v>
      </c>
      <c r="B39" s="71" t="s">
        <v>214</v>
      </c>
      <c r="C39" s="71" t="s">
        <v>215</v>
      </c>
      <c r="D39" s="71" t="s">
        <v>216</v>
      </c>
      <c r="E39" s="72">
        <v>0</v>
      </c>
      <c r="F39" s="73"/>
      <c r="G39" s="74"/>
      <c r="H39" s="75">
        <f t="shared" si="0"/>
        <v>7</v>
      </c>
      <c r="I39" s="16" t="str">
        <f t="shared" si="1"/>
        <v>Rimvydas BALŽEKAS</v>
      </c>
      <c r="J39" s="76" t="str">
        <f t="shared" si="2"/>
        <v>A|PROMETĖJAS|7</v>
      </c>
      <c r="K39" s="77" t="str">
        <f t="shared" si="3"/>
        <v/>
      </c>
      <c r="L39" s="78" t="str">
        <f t="shared" si="4"/>
        <v/>
      </c>
      <c r="M39" s="4"/>
      <c r="N39" s="79">
        <f>IF(OR($A39="",$B39=""),0,IF(COUNTIFS($A$5:$A39,$A39,$B$5:$B39,$B39)=1,1,0))</f>
        <v>1</v>
      </c>
      <c r="O39" s="79">
        <f t="shared" si="5"/>
        <v>6</v>
      </c>
      <c r="P39" s="79" t="str">
        <f t="shared" si="6"/>
        <v/>
      </c>
      <c r="Q39" s="60"/>
      <c r="R39" s="80"/>
      <c r="S39" s="71"/>
      <c r="T39" s="81" t="str">
        <f t="shared" si="7"/>
        <v/>
      </c>
      <c r="U39" s="82"/>
      <c r="V39" s="64"/>
      <c r="W39" s="83" t="str">
        <f>IFERROR(INDEX($B$5:$B$604,SUMPRODUCT(MATCH(1,($A$5:$A$604="A")*($N$5:$N$604=1)*($O$5:$O$604=35),0))),"")</f>
        <v/>
      </c>
      <c r="X39" s="64"/>
      <c r="Y39" s="83" t="str">
        <f>IFERROR(INDEX($B$5:$B$604,SUMPRODUCT(MATCH(1,($A$5:$A$604="B")*($N$5:$N$604=1)*($O$5:$O$604=35),0))),"")</f>
        <v/>
      </c>
      <c r="Z39" s="64"/>
      <c r="AA39" s="84" t="str">
        <f>IFERROR(INDEX($B$5:$B$604,SUMPRODUCT(MATCH(1,($A$5:$A$604="C")*($N$5:$N$604=1)*($O$5:$O$604=35),0))),"")</f>
        <v/>
      </c>
      <c r="AB39" s="85" t="str">
        <f>IF($T39="","",COUNTIFS($T$5:$T$44,"&lt;"&amp;$T39,$T$5:$T$44,"?*")+COUNTIF($T$5:$T39,$T39))</f>
        <v/>
      </c>
      <c r="AC39" s="86" t="str">
        <f t="shared" si="8"/>
        <v/>
      </c>
      <c r="AD39" s="64"/>
      <c r="AE39" s="87" t="str">
        <f>IFERROR(INDEX($B$5:$B$604,MATCH(35,$P$5:$P$604,0)),"")</f>
        <v/>
      </c>
      <c r="AF39" s="4"/>
      <c r="AL39" s="89" t="str">
        <f t="shared" ca="1" si="9"/>
        <v>ADMIN_Duomenys!$W$5:$W$12</v>
      </c>
    </row>
    <row r="40" spans="1:38" x14ac:dyDescent="0.3">
      <c r="A40" s="70" t="s">
        <v>42</v>
      </c>
      <c r="B40" s="71" t="s">
        <v>214</v>
      </c>
      <c r="C40" s="71" t="s">
        <v>217</v>
      </c>
      <c r="D40" s="71" t="s">
        <v>218</v>
      </c>
      <c r="E40" s="72">
        <v>0</v>
      </c>
      <c r="F40" s="73"/>
      <c r="G40" s="74"/>
      <c r="H40" s="75">
        <f t="shared" si="0"/>
        <v>1</v>
      </c>
      <c r="I40" s="16" t="str">
        <f t="shared" si="1"/>
        <v>Aidas BORODINAS</v>
      </c>
      <c r="J40" s="76" t="str">
        <f t="shared" si="2"/>
        <v>A|PROMETĖJAS|1</v>
      </c>
      <c r="K40" s="77" t="str">
        <f t="shared" si="3"/>
        <v/>
      </c>
      <c r="L40" s="78" t="str">
        <f t="shared" si="4"/>
        <v/>
      </c>
      <c r="M40" s="4"/>
      <c r="N40" s="79">
        <f>IF(OR($A40="",$B40=""),0,IF(COUNTIFS($A$5:$A40,$A40,$B$5:$B40,$B40)=1,1,0))</f>
        <v>0</v>
      </c>
      <c r="O40" s="79" t="str">
        <f t="shared" si="5"/>
        <v/>
      </c>
      <c r="P40" s="79" t="str">
        <f t="shared" si="6"/>
        <v/>
      </c>
      <c r="Q40" s="60"/>
      <c r="R40" s="80"/>
      <c r="S40" s="71"/>
      <c r="T40" s="81" t="str">
        <f t="shared" si="7"/>
        <v/>
      </c>
      <c r="U40" s="82"/>
      <c r="V40" s="64"/>
      <c r="W40" s="83" t="str">
        <f>IFERROR(INDEX($B$5:$B$604,SUMPRODUCT(MATCH(1,($A$5:$A$604="A")*($N$5:$N$604=1)*($O$5:$O$604=36),0))),"")</f>
        <v/>
      </c>
      <c r="X40" s="64"/>
      <c r="Y40" s="83" t="str">
        <f>IFERROR(INDEX($B$5:$B$604,SUMPRODUCT(MATCH(1,($A$5:$A$604="B")*($N$5:$N$604=1)*($O$5:$O$604=36),0))),"")</f>
        <v/>
      </c>
      <c r="Z40" s="64"/>
      <c r="AA40" s="84" t="str">
        <f>IFERROR(INDEX($B$5:$B$604,SUMPRODUCT(MATCH(1,($A$5:$A$604="C")*($N$5:$N$604=1)*($O$5:$O$604=36),0))),"")</f>
        <v/>
      </c>
      <c r="AB40" s="85" t="str">
        <f>IF($T40="","",COUNTIFS($T$5:$T$44,"&lt;"&amp;$T40,$T$5:$T$44,"?*")+COUNTIF($T$5:$T40,$T40))</f>
        <v/>
      </c>
      <c r="AC40" s="86" t="str">
        <f t="shared" si="8"/>
        <v/>
      </c>
      <c r="AD40" s="64"/>
      <c r="AE40" s="87" t="str">
        <f>IFERROR(INDEX($B$5:$B$604,MATCH(36,$P$5:$P$604,0)),"")</f>
        <v/>
      </c>
      <c r="AF40" s="4"/>
      <c r="AL40" s="89" t="str">
        <f t="shared" ca="1" si="9"/>
        <v>ADMIN_Duomenys!$W$5:$W$12</v>
      </c>
    </row>
    <row r="41" spans="1:38" x14ac:dyDescent="0.3">
      <c r="A41" s="70" t="s">
        <v>42</v>
      </c>
      <c r="B41" s="71" t="s">
        <v>214</v>
      </c>
      <c r="C41" s="71" t="s">
        <v>219</v>
      </c>
      <c r="D41" s="71" t="s">
        <v>220</v>
      </c>
      <c r="E41" s="72">
        <v>0</v>
      </c>
      <c r="F41" s="73"/>
      <c r="G41" s="74"/>
      <c r="H41" s="75">
        <f t="shared" si="0"/>
        <v>2</v>
      </c>
      <c r="I41" s="16" t="str">
        <f t="shared" si="1"/>
        <v>Arnoldas JURGELEVIČIUS</v>
      </c>
      <c r="J41" s="76" t="str">
        <f t="shared" si="2"/>
        <v>A|PROMETĖJAS|2</v>
      </c>
      <c r="K41" s="77" t="str">
        <f t="shared" si="3"/>
        <v/>
      </c>
      <c r="L41" s="78" t="str">
        <f t="shared" si="4"/>
        <v/>
      </c>
      <c r="M41" s="4"/>
      <c r="N41" s="79">
        <f>IF(OR($A41="",$B41=""),0,IF(COUNTIFS($A$5:$A41,$A41,$B$5:$B41,$B41)=1,1,0))</f>
        <v>0</v>
      </c>
      <c r="O41" s="79" t="str">
        <f t="shared" si="5"/>
        <v/>
      </c>
      <c r="P41" s="79" t="str">
        <f t="shared" si="6"/>
        <v/>
      </c>
      <c r="Q41" s="60"/>
      <c r="R41" s="80"/>
      <c r="S41" s="71"/>
      <c r="T41" s="81" t="str">
        <f t="shared" si="7"/>
        <v/>
      </c>
      <c r="U41" s="82"/>
      <c r="V41" s="64"/>
      <c r="W41" s="83" t="str">
        <f>IFERROR(INDEX($B$5:$B$604,SUMPRODUCT(MATCH(1,($A$5:$A$604="A")*($N$5:$N$604=1)*($O$5:$O$604=37),0))),"")</f>
        <v/>
      </c>
      <c r="X41" s="64"/>
      <c r="Y41" s="83" t="str">
        <f>IFERROR(INDEX($B$5:$B$604,SUMPRODUCT(MATCH(1,($A$5:$A$604="B")*($N$5:$N$604=1)*($O$5:$O$604=37),0))),"")</f>
        <v/>
      </c>
      <c r="Z41" s="64"/>
      <c r="AA41" s="84" t="str">
        <f>IFERROR(INDEX($B$5:$B$604,SUMPRODUCT(MATCH(1,($A$5:$A$604="C")*($N$5:$N$604=1)*($O$5:$O$604=37),0))),"")</f>
        <v/>
      </c>
      <c r="AB41" s="85" t="str">
        <f>IF($T41="","",COUNTIFS($T$5:$T$44,"&lt;"&amp;$T41,$T$5:$T$44,"?*")+COUNTIF($T$5:$T41,$T41))</f>
        <v/>
      </c>
      <c r="AC41" s="86" t="str">
        <f t="shared" si="8"/>
        <v/>
      </c>
      <c r="AD41" s="64"/>
      <c r="AE41" s="87" t="str">
        <f>IFERROR(INDEX($B$5:$B$604,MATCH(37,$P$5:$P$604,0)),"")</f>
        <v/>
      </c>
      <c r="AF41" s="4"/>
      <c r="AL41" s="89" t="str">
        <f t="shared" ca="1" si="9"/>
        <v>ADMIN_Duomenys!$W$5:$W$12</v>
      </c>
    </row>
    <row r="42" spans="1:38" x14ac:dyDescent="0.3">
      <c r="A42" s="70" t="s">
        <v>42</v>
      </c>
      <c r="B42" s="71" t="s">
        <v>214</v>
      </c>
      <c r="C42" s="71" t="s">
        <v>221</v>
      </c>
      <c r="D42" s="71" t="s">
        <v>222</v>
      </c>
      <c r="E42" s="72">
        <v>0</v>
      </c>
      <c r="F42" s="73"/>
      <c r="G42" s="74"/>
      <c r="H42" s="75">
        <f t="shared" si="0"/>
        <v>3</v>
      </c>
      <c r="I42" s="16" t="str">
        <f t="shared" si="1"/>
        <v>Drąsius KIETIS</v>
      </c>
      <c r="J42" s="76" t="str">
        <f t="shared" si="2"/>
        <v>A|PROMETĖJAS|3</v>
      </c>
      <c r="K42" s="77" t="str">
        <f t="shared" si="3"/>
        <v/>
      </c>
      <c r="L42" s="78" t="str">
        <f t="shared" si="4"/>
        <v/>
      </c>
      <c r="M42" s="4"/>
      <c r="N42" s="79">
        <f>IF(OR($A42="",$B42=""),0,IF(COUNTIFS($A$5:$A42,$A42,$B$5:$B42,$B42)=1,1,0))</f>
        <v>0</v>
      </c>
      <c r="O42" s="79" t="str">
        <f t="shared" si="5"/>
        <v/>
      </c>
      <c r="P42" s="79" t="str">
        <f t="shared" si="6"/>
        <v/>
      </c>
      <c r="Q42" s="60"/>
      <c r="R42" s="80"/>
      <c r="S42" s="71"/>
      <c r="T42" s="81" t="str">
        <f t="shared" si="7"/>
        <v/>
      </c>
      <c r="U42" s="82"/>
      <c r="V42" s="64"/>
      <c r="W42" s="83" t="str">
        <f>IFERROR(INDEX($B$5:$B$604,SUMPRODUCT(MATCH(1,($A$5:$A$604="A")*($N$5:$N$604=1)*($O$5:$O$604=38),0))),"")</f>
        <v/>
      </c>
      <c r="X42" s="64"/>
      <c r="Y42" s="83" t="str">
        <f>IFERROR(INDEX($B$5:$B$604,SUMPRODUCT(MATCH(1,($A$5:$A$604="B")*($N$5:$N$604=1)*($O$5:$O$604=38),0))),"")</f>
        <v/>
      </c>
      <c r="Z42" s="64"/>
      <c r="AA42" s="84" t="str">
        <f>IFERROR(INDEX($B$5:$B$604,SUMPRODUCT(MATCH(1,($A$5:$A$604="C")*($N$5:$N$604=1)*($O$5:$O$604=38),0))),"")</f>
        <v/>
      </c>
      <c r="AB42" s="85" t="str">
        <f>IF($T42="","",COUNTIFS($T$5:$T$44,"&lt;"&amp;$T42,$T$5:$T$44,"?*")+COUNTIF($T$5:$T42,$T42))</f>
        <v/>
      </c>
      <c r="AC42" s="86" t="str">
        <f t="shared" si="8"/>
        <v/>
      </c>
      <c r="AD42" s="64"/>
      <c r="AE42" s="87" t="str">
        <f>IFERROR(INDEX($B$5:$B$604,MATCH(38,$P$5:$P$604,0)),"")</f>
        <v/>
      </c>
      <c r="AF42" s="4"/>
      <c r="AL42" s="89" t="str">
        <f t="shared" ca="1" si="9"/>
        <v>ADMIN_Duomenys!$W$5:$W$12</v>
      </c>
    </row>
    <row r="43" spans="1:38" x14ac:dyDescent="0.3">
      <c r="A43" s="70" t="s">
        <v>42</v>
      </c>
      <c r="B43" s="71" t="s">
        <v>214</v>
      </c>
      <c r="C43" s="71" t="s">
        <v>223</v>
      </c>
      <c r="D43" s="71" t="s">
        <v>224</v>
      </c>
      <c r="E43" s="72">
        <v>0</v>
      </c>
      <c r="F43" s="73"/>
      <c r="G43" s="74"/>
      <c r="H43" s="75">
        <f t="shared" si="0"/>
        <v>6</v>
      </c>
      <c r="I43" s="16" t="str">
        <f t="shared" si="1"/>
        <v>Osvaldas NOREIKA</v>
      </c>
      <c r="J43" s="76" t="str">
        <f t="shared" si="2"/>
        <v>A|PROMETĖJAS|6</v>
      </c>
      <c r="K43" s="77" t="str">
        <f t="shared" si="3"/>
        <v/>
      </c>
      <c r="L43" s="78" t="str">
        <f t="shared" si="4"/>
        <v/>
      </c>
      <c r="M43" s="4"/>
      <c r="N43" s="79">
        <f>IF(OR($A43="",$B43=""),0,IF(COUNTIFS($A$5:$A43,$A43,$B$5:$B43,$B43)=1,1,0))</f>
        <v>0</v>
      </c>
      <c r="O43" s="79" t="str">
        <f t="shared" si="5"/>
        <v/>
      </c>
      <c r="P43" s="79" t="str">
        <f t="shared" si="6"/>
        <v/>
      </c>
      <c r="Q43" s="60"/>
      <c r="R43" s="80"/>
      <c r="S43" s="71"/>
      <c r="T43" s="81" t="str">
        <f t="shared" si="7"/>
        <v/>
      </c>
      <c r="U43" s="82"/>
      <c r="V43" s="64"/>
      <c r="W43" s="83" t="str">
        <f>IFERROR(INDEX($B$5:$B$604,SUMPRODUCT(MATCH(1,($A$5:$A$604="A")*($N$5:$N$604=1)*($O$5:$O$604=39),0))),"")</f>
        <v/>
      </c>
      <c r="X43" s="64"/>
      <c r="Y43" s="83" t="str">
        <f>IFERROR(INDEX($B$5:$B$604,SUMPRODUCT(MATCH(1,($A$5:$A$604="B")*($N$5:$N$604=1)*($O$5:$O$604=39),0))),"")</f>
        <v/>
      </c>
      <c r="Z43" s="64"/>
      <c r="AA43" s="84" t="str">
        <f>IFERROR(INDEX($B$5:$B$604,SUMPRODUCT(MATCH(1,($A$5:$A$604="C")*($N$5:$N$604=1)*($O$5:$O$604=39),0))),"")</f>
        <v/>
      </c>
      <c r="AB43" s="85" t="str">
        <f>IF($T43="","",COUNTIFS($T$5:$T$44,"&lt;"&amp;$T43,$T$5:$T$44,"?*")+COUNTIF($T$5:$T43,$T43))</f>
        <v/>
      </c>
      <c r="AC43" s="86" t="str">
        <f t="shared" si="8"/>
        <v/>
      </c>
      <c r="AD43" s="64"/>
      <c r="AE43" s="87" t="str">
        <f>IFERROR(INDEX($B$5:$B$604,MATCH(39,$P$5:$P$604,0)),"")</f>
        <v/>
      </c>
      <c r="AF43" s="4"/>
      <c r="AL43" s="89" t="str">
        <f t="shared" ca="1" si="9"/>
        <v>ADMIN_Duomenys!$W$5:$W$12</v>
      </c>
    </row>
    <row r="44" spans="1:38" x14ac:dyDescent="0.3">
      <c r="A44" s="70" t="s">
        <v>42</v>
      </c>
      <c r="B44" s="71" t="s">
        <v>214</v>
      </c>
      <c r="C44" s="71" t="s">
        <v>225</v>
      </c>
      <c r="D44" s="71" t="s">
        <v>226</v>
      </c>
      <c r="E44" s="72">
        <v>8</v>
      </c>
      <c r="F44" s="73"/>
      <c r="G44" s="74"/>
      <c r="H44" s="75">
        <f t="shared" si="0"/>
        <v>5</v>
      </c>
      <c r="I44" s="16" t="str">
        <f t="shared" si="1"/>
        <v>Kristina RULYTĖ</v>
      </c>
      <c r="J44" s="76" t="str">
        <f t="shared" si="2"/>
        <v>A|PROMETĖJAS|5</v>
      </c>
      <c r="K44" s="77" t="str">
        <f t="shared" si="3"/>
        <v/>
      </c>
      <c r="L44" s="78" t="str">
        <f t="shared" si="4"/>
        <v/>
      </c>
      <c r="M44" s="4"/>
      <c r="N44" s="79">
        <f>IF(OR($A44="",$B44=""),0,IF(COUNTIFS($A$5:$A44,$A44,$B$5:$B44,$B44)=1,1,0))</f>
        <v>0</v>
      </c>
      <c r="O44" s="79" t="str">
        <f t="shared" si="5"/>
        <v/>
      </c>
      <c r="P44" s="79" t="str">
        <f t="shared" si="6"/>
        <v/>
      </c>
      <c r="Q44" s="60"/>
      <c r="R44" s="90"/>
      <c r="S44" s="91"/>
      <c r="T44" s="92" t="str">
        <f t="shared" si="7"/>
        <v/>
      </c>
      <c r="U44" s="93"/>
      <c r="V44" s="64"/>
      <c r="W44" s="94" t="str">
        <f>IFERROR(INDEX($B$5:$B$604,SUMPRODUCT(MATCH(1,($A$5:$A$604="A")*($N$5:$N$604=1)*($O$5:$O$604=40),0))),"")</f>
        <v/>
      </c>
      <c r="X44" s="64"/>
      <c r="Y44" s="94" t="str">
        <f>IFERROR(INDEX($B$5:$B$604,SUMPRODUCT(MATCH(1,($A$5:$A$604="B")*($N$5:$N$604=1)*($O$5:$O$604=40),0))),"")</f>
        <v/>
      </c>
      <c r="Z44" s="64"/>
      <c r="AA44" s="95" t="str">
        <f>IFERROR(INDEX($B$5:$B$604,SUMPRODUCT(MATCH(1,($A$5:$A$604="C")*($N$5:$N$604=1)*($O$5:$O$604=40),0))),"")</f>
        <v/>
      </c>
      <c r="AB44" s="96" t="str">
        <f>IF($T44="","",COUNTIFS($T$5:$T$44,"&lt;"&amp;$T44,$T$5:$T$44,"?*")+COUNTIF($T$5:$T44,$T44))</f>
        <v/>
      </c>
      <c r="AC44" s="97" t="str">
        <f t="shared" si="8"/>
        <v/>
      </c>
      <c r="AD44" s="64"/>
      <c r="AE44" s="98" t="str">
        <f>IFERROR(INDEX($B$5:$B$604,MATCH(40,$P$5:$P$604,0)),"")</f>
        <v/>
      </c>
      <c r="AF44" s="4"/>
      <c r="AL44" s="89" t="str">
        <f t="shared" ca="1" si="9"/>
        <v>ADMIN_Duomenys!$W$5:$W$12</v>
      </c>
    </row>
    <row r="45" spans="1:38" x14ac:dyDescent="0.3">
      <c r="A45" s="70" t="s">
        <v>42</v>
      </c>
      <c r="B45" s="71" t="s">
        <v>214</v>
      </c>
      <c r="C45" s="71" t="s">
        <v>227</v>
      </c>
      <c r="D45" s="71" t="s">
        <v>228</v>
      </c>
      <c r="E45" s="72">
        <v>0</v>
      </c>
      <c r="F45" s="73"/>
      <c r="G45" s="74"/>
      <c r="H45" s="75">
        <f t="shared" si="0"/>
        <v>4</v>
      </c>
      <c r="I45" s="16" t="str">
        <f t="shared" si="1"/>
        <v>Karolis ŠMIDTAS</v>
      </c>
      <c r="J45" s="76" t="str">
        <f t="shared" si="2"/>
        <v>A|PROMETĖJAS|4</v>
      </c>
      <c r="K45" s="77" t="str">
        <f t="shared" si="3"/>
        <v/>
      </c>
      <c r="L45" s="78" t="str">
        <f t="shared" si="4"/>
        <v/>
      </c>
      <c r="M45" s="4"/>
      <c r="N45" s="79">
        <f>IF(OR($A45="",$B45=""),0,IF(COUNTIFS($A$5:$A45,$A45,$B$5:$B45,$B45)=1,1,0))</f>
        <v>0</v>
      </c>
      <c r="O45" s="79" t="str">
        <f t="shared" si="5"/>
        <v/>
      </c>
      <c r="P45" s="79" t="str">
        <f t="shared" si="6"/>
        <v/>
      </c>
      <c r="R45" s="24"/>
      <c r="S45" s="24"/>
      <c r="T45" s="24"/>
      <c r="U45" s="24"/>
      <c r="W45" s="24"/>
      <c r="Y45" s="24"/>
      <c r="AA45" s="24"/>
      <c r="AB45" s="24"/>
      <c r="AC45" s="24"/>
      <c r="AE45" s="24"/>
      <c r="AL45" s="89" t="str">
        <f t="shared" ca="1" si="9"/>
        <v>ADMIN_Duomenys!$W$5:$W$12</v>
      </c>
    </row>
    <row r="46" spans="1:38" x14ac:dyDescent="0.3">
      <c r="A46" s="70" t="s">
        <v>42</v>
      </c>
      <c r="B46" s="71" t="s">
        <v>229</v>
      </c>
      <c r="C46" s="71" t="s">
        <v>217</v>
      </c>
      <c r="D46" s="71" t="s">
        <v>230</v>
      </c>
      <c r="E46" s="72">
        <v>0</v>
      </c>
      <c r="F46" s="73"/>
      <c r="G46" s="74"/>
      <c r="H46" s="75">
        <f t="shared" si="0"/>
        <v>1</v>
      </c>
      <c r="I46" s="16" t="str">
        <f t="shared" si="1"/>
        <v>Aidas DANIŪNAS</v>
      </c>
      <c r="J46" s="76" t="str">
        <f t="shared" si="2"/>
        <v>A|STRIKE HOUSE &amp; D.M PROPERTIES|1</v>
      </c>
      <c r="K46" s="77" t="str">
        <f t="shared" si="3"/>
        <v/>
      </c>
      <c r="L46" s="78" t="str">
        <f t="shared" si="4"/>
        <v/>
      </c>
      <c r="M46" s="4"/>
      <c r="N46" s="79">
        <f>IF(OR($A46="",$B46=""),0,IF(COUNTIFS($A$5:$A46,$A46,$B$5:$B46,$B46)=1,1,0))</f>
        <v>1</v>
      </c>
      <c r="O46" s="79">
        <f t="shared" si="5"/>
        <v>7</v>
      </c>
      <c r="P46" s="79" t="str">
        <f t="shared" si="6"/>
        <v/>
      </c>
      <c r="AL46" s="89" t="str">
        <f t="shared" ca="1" si="9"/>
        <v>ADMIN_Duomenys!$W$5:$W$12</v>
      </c>
    </row>
    <row r="47" spans="1:38" x14ac:dyDescent="0.3">
      <c r="A47" s="70" t="s">
        <v>42</v>
      </c>
      <c r="B47" s="71" t="s">
        <v>229</v>
      </c>
      <c r="C47" s="71" t="s">
        <v>194</v>
      </c>
      <c r="D47" s="71" t="s">
        <v>231</v>
      </c>
      <c r="E47" s="72">
        <v>0</v>
      </c>
      <c r="F47" s="73"/>
      <c r="G47" s="74"/>
      <c r="H47" s="75">
        <f t="shared" si="0"/>
        <v>4</v>
      </c>
      <c r="I47" s="16" t="str">
        <f t="shared" si="1"/>
        <v>Kęstutis GUDAUSKAS</v>
      </c>
      <c r="J47" s="76" t="str">
        <f t="shared" si="2"/>
        <v>A|STRIKE HOUSE &amp; D.M PROPERTIES|4</v>
      </c>
      <c r="K47" s="77" t="str">
        <f t="shared" si="3"/>
        <v/>
      </c>
      <c r="L47" s="78" t="str">
        <f t="shared" si="4"/>
        <v/>
      </c>
      <c r="M47" s="4"/>
      <c r="N47" s="79">
        <f>IF(OR($A47="",$B47=""),0,IF(COUNTIFS($A$5:$A47,$A47,$B$5:$B47,$B47)=1,1,0))</f>
        <v>0</v>
      </c>
      <c r="O47" s="79" t="str">
        <f t="shared" si="5"/>
        <v/>
      </c>
      <c r="P47" s="79" t="str">
        <f t="shared" si="6"/>
        <v/>
      </c>
      <c r="AL47" s="89" t="str">
        <f t="shared" ca="1" si="9"/>
        <v>ADMIN_Duomenys!$W$5:$W$12</v>
      </c>
    </row>
    <row r="48" spans="1:38" x14ac:dyDescent="0.3">
      <c r="A48" s="70" t="s">
        <v>42</v>
      </c>
      <c r="B48" s="71" t="s">
        <v>229</v>
      </c>
      <c r="C48" s="71" t="s">
        <v>232</v>
      </c>
      <c r="D48" s="71" t="s">
        <v>233</v>
      </c>
      <c r="E48" s="72">
        <v>0</v>
      </c>
      <c r="F48" s="73"/>
      <c r="G48" s="74"/>
      <c r="H48" s="75">
        <f t="shared" si="0"/>
        <v>6</v>
      </c>
      <c r="I48" s="16" t="str">
        <f t="shared" si="1"/>
        <v>Rihards KOVAJENKO</v>
      </c>
      <c r="J48" s="76" t="str">
        <f t="shared" si="2"/>
        <v>A|STRIKE HOUSE &amp; D.M PROPERTIES|6</v>
      </c>
      <c r="K48" s="77" t="str">
        <f t="shared" si="3"/>
        <v/>
      </c>
      <c r="L48" s="78" t="str">
        <f t="shared" si="4"/>
        <v/>
      </c>
      <c r="M48" s="4"/>
      <c r="N48" s="79">
        <f>IF(OR($A48="",$B48=""),0,IF(COUNTIFS($A$5:$A48,$A48,$B$5:$B48,$B48)=1,1,0))</f>
        <v>0</v>
      </c>
      <c r="O48" s="79" t="str">
        <f t="shared" si="5"/>
        <v/>
      </c>
      <c r="P48" s="79" t="str">
        <f t="shared" si="6"/>
        <v/>
      </c>
      <c r="AL48" s="89" t="str">
        <f t="shared" ca="1" si="9"/>
        <v>ADMIN_Duomenys!$W$5:$W$12</v>
      </c>
    </row>
    <row r="49" spans="1:38" x14ac:dyDescent="0.3">
      <c r="A49" s="70" t="s">
        <v>42</v>
      </c>
      <c r="B49" s="71" t="s">
        <v>229</v>
      </c>
      <c r="C49" s="71" t="s">
        <v>234</v>
      </c>
      <c r="D49" s="71" t="s">
        <v>235</v>
      </c>
      <c r="E49" s="72">
        <v>0</v>
      </c>
      <c r="F49" s="73"/>
      <c r="G49" s="74"/>
      <c r="H49" s="75">
        <f t="shared" si="0"/>
        <v>3</v>
      </c>
      <c r="I49" s="16" t="str">
        <f t="shared" si="1"/>
        <v>Artur LEVIKIN</v>
      </c>
      <c r="J49" s="76" t="str">
        <f t="shared" si="2"/>
        <v>A|STRIKE HOUSE &amp; D.M PROPERTIES|3</v>
      </c>
      <c r="K49" s="77" t="str">
        <f t="shared" si="3"/>
        <v/>
      </c>
      <c r="L49" s="78" t="str">
        <f t="shared" si="4"/>
        <v/>
      </c>
      <c r="M49" s="4"/>
      <c r="N49" s="79">
        <f>IF(OR($A49="",$B49=""),0,IF(COUNTIFS($A$5:$A49,$A49,$B$5:$B49,$B49)=1,1,0))</f>
        <v>0</v>
      </c>
      <c r="O49" s="79" t="str">
        <f t="shared" si="5"/>
        <v/>
      </c>
      <c r="P49" s="79" t="str">
        <f t="shared" si="6"/>
        <v/>
      </c>
      <c r="AL49" s="89" t="str">
        <f t="shared" ca="1" si="9"/>
        <v>ADMIN_Duomenys!$W$5:$W$12</v>
      </c>
    </row>
    <row r="50" spans="1:38" x14ac:dyDescent="0.3">
      <c r="A50" s="70" t="s">
        <v>42</v>
      </c>
      <c r="B50" s="71" t="s">
        <v>229</v>
      </c>
      <c r="C50" s="71" t="s">
        <v>236</v>
      </c>
      <c r="D50" s="71" t="s">
        <v>237</v>
      </c>
      <c r="E50" s="72">
        <v>0</v>
      </c>
      <c r="F50" s="73"/>
      <c r="G50" s="74"/>
      <c r="H50" s="75">
        <f t="shared" si="0"/>
        <v>5</v>
      </c>
      <c r="I50" s="16" t="str">
        <f t="shared" si="1"/>
        <v>Raimundas NAKAS</v>
      </c>
      <c r="J50" s="76" t="str">
        <f t="shared" si="2"/>
        <v>A|STRIKE HOUSE &amp; D.M PROPERTIES|5</v>
      </c>
      <c r="K50" s="77" t="str">
        <f t="shared" si="3"/>
        <v/>
      </c>
      <c r="L50" s="78" t="str">
        <f t="shared" si="4"/>
        <v/>
      </c>
      <c r="M50" s="4"/>
      <c r="N50" s="79">
        <f>IF(OR($A50="",$B50=""),0,IF(COUNTIFS($A$5:$A50,$A50,$B$5:$B50,$B50)=1,1,0))</f>
        <v>0</v>
      </c>
      <c r="O50" s="79" t="str">
        <f t="shared" si="5"/>
        <v/>
      </c>
      <c r="P50" s="79" t="str">
        <f t="shared" si="6"/>
        <v/>
      </c>
      <c r="AL50" s="89" t="str">
        <f t="shared" ca="1" si="9"/>
        <v>ADMIN_Duomenys!$W$5:$W$12</v>
      </c>
    </row>
    <row r="51" spans="1:38" x14ac:dyDescent="0.3">
      <c r="A51" s="70" t="s">
        <v>42</v>
      </c>
      <c r="B51" s="71" t="s">
        <v>229</v>
      </c>
      <c r="C51" s="71" t="s">
        <v>161</v>
      </c>
      <c r="D51" s="71" t="s">
        <v>238</v>
      </c>
      <c r="E51" s="72">
        <v>0</v>
      </c>
      <c r="F51" s="73"/>
      <c r="G51" s="74"/>
      <c r="H51" s="75">
        <f t="shared" si="0"/>
        <v>2</v>
      </c>
      <c r="I51" s="16" t="str">
        <f t="shared" si="1"/>
        <v>Andrius POLIKEVIČIUS</v>
      </c>
      <c r="J51" s="76" t="str">
        <f t="shared" si="2"/>
        <v>A|STRIKE HOUSE &amp; D.M PROPERTIES|2</v>
      </c>
      <c r="K51" s="77" t="str">
        <f t="shared" si="3"/>
        <v/>
      </c>
      <c r="L51" s="78" t="str">
        <f t="shared" si="4"/>
        <v/>
      </c>
      <c r="M51" s="4"/>
      <c r="N51" s="79">
        <f>IF(OR($A51="",$B51=""),0,IF(COUNTIFS($A$5:$A51,$A51,$B$5:$B51,$B51)=1,1,0))</f>
        <v>0</v>
      </c>
      <c r="O51" s="79" t="str">
        <f t="shared" si="5"/>
        <v/>
      </c>
      <c r="P51" s="79" t="str">
        <f t="shared" si="6"/>
        <v/>
      </c>
      <c r="AL51" s="89" t="str">
        <f t="shared" ca="1" si="9"/>
        <v>ADMIN_Duomenys!$W$5:$W$12</v>
      </c>
    </row>
    <row r="52" spans="1:38" x14ac:dyDescent="0.3">
      <c r="A52" s="70" t="s">
        <v>42</v>
      </c>
      <c r="B52" s="71" t="s">
        <v>239</v>
      </c>
      <c r="C52" s="71" t="s">
        <v>240</v>
      </c>
      <c r="D52" s="71" t="s">
        <v>241</v>
      </c>
      <c r="E52" s="72">
        <v>0</v>
      </c>
      <c r="F52" s="73"/>
      <c r="G52" s="74"/>
      <c r="H52" s="75">
        <f t="shared" si="0"/>
        <v>4</v>
      </c>
      <c r="I52" s="16" t="str">
        <f t="shared" si="1"/>
        <v>Jurijs BOKUMS</v>
      </c>
      <c r="J52" s="76" t="str">
        <f t="shared" si="2"/>
        <v>A|WITSEE MELGA|4</v>
      </c>
      <c r="K52" s="77" t="str">
        <f t="shared" si="3"/>
        <v/>
      </c>
      <c r="L52" s="78" t="str">
        <f t="shared" si="4"/>
        <v/>
      </c>
      <c r="M52" s="4"/>
      <c r="N52" s="79">
        <f>IF(OR($A52="",$B52=""),0,IF(COUNTIFS($A$5:$A52,$A52,$B$5:$B52,$B52)=1,1,0))</f>
        <v>1</v>
      </c>
      <c r="O52" s="79">
        <f t="shared" si="5"/>
        <v>8</v>
      </c>
      <c r="P52" s="79" t="str">
        <f t="shared" si="6"/>
        <v/>
      </c>
      <c r="AL52" s="89" t="str">
        <f t="shared" ca="1" si="9"/>
        <v>ADMIN_Duomenys!$W$5:$W$12</v>
      </c>
    </row>
    <row r="53" spans="1:38" x14ac:dyDescent="0.3">
      <c r="A53" s="70" t="s">
        <v>42</v>
      </c>
      <c r="B53" s="71" t="s">
        <v>239</v>
      </c>
      <c r="C53" s="71" t="s">
        <v>242</v>
      </c>
      <c r="D53" s="71" t="s">
        <v>243</v>
      </c>
      <c r="E53" s="72">
        <v>0</v>
      </c>
      <c r="F53" s="73"/>
      <c r="G53" s="74"/>
      <c r="H53" s="75">
        <f t="shared" si="0"/>
        <v>2</v>
      </c>
      <c r="I53" s="16" t="str">
        <f t="shared" si="1"/>
        <v>Elvijs DIMPERS</v>
      </c>
      <c r="J53" s="76" t="str">
        <f t="shared" si="2"/>
        <v>A|WITSEE MELGA|2</v>
      </c>
      <c r="K53" s="77" t="str">
        <f t="shared" si="3"/>
        <v/>
      </c>
      <c r="L53" s="78" t="str">
        <f t="shared" si="4"/>
        <v/>
      </c>
      <c r="M53" s="4"/>
      <c r="N53" s="79">
        <f>IF(OR($A53="",$B53=""),0,IF(COUNTIFS($A$5:$A53,$A53,$B$5:$B53,$B53)=1,1,0))</f>
        <v>0</v>
      </c>
      <c r="O53" s="79" t="str">
        <f t="shared" si="5"/>
        <v/>
      </c>
      <c r="P53" s="79" t="str">
        <f t="shared" si="6"/>
        <v/>
      </c>
      <c r="AL53" s="89" t="str">
        <f t="shared" ca="1" si="9"/>
        <v>ADMIN_Duomenys!$W$5:$W$12</v>
      </c>
    </row>
    <row r="54" spans="1:38" x14ac:dyDescent="0.3">
      <c r="A54" s="70" t="s">
        <v>42</v>
      </c>
      <c r="B54" s="71" t="s">
        <v>239</v>
      </c>
      <c r="C54" s="71" t="s">
        <v>161</v>
      </c>
      <c r="D54" s="71" t="s">
        <v>244</v>
      </c>
      <c r="E54" s="72">
        <v>0</v>
      </c>
      <c r="F54" s="73"/>
      <c r="G54" s="74"/>
      <c r="H54" s="75">
        <f t="shared" si="0"/>
        <v>1</v>
      </c>
      <c r="I54" s="16" t="str">
        <f t="shared" si="1"/>
        <v>Andrius GASPARAVIČIUS</v>
      </c>
      <c r="J54" s="76" t="str">
        <f t="shared" si="2"/>
        <v>A|WITSEE MELGA|1</v>
      </c>
      <c r="K54" s="77" t="str">
        <f t="shared" si="3"/>
        <v/>
      </c>
      <c r="L54" s="78" t="str">
        <f t="shared" si="4"/>
        <v/>
      </c>
      <c r="M54" s="4"/>
      <c r="N54" s="79">
        <f>IF(OR($A54="",$B54=""),0,IF(COUNTIFS($A$5:$A54,$A54,$B$5:$B54,$B54)=1,1,0))</f>
        <v>0</v>
      </c>
      <c r="O54" s="79" t="str">
        <f t="shared" si="5"/>
        <v/>
      </c>
      <c r="P54" s="79" t="str">
        <f t="shared" si="6"/>
        <v/>
      </c>
      <c r="AL54" s="89" t="str">
        <f t="shared" ca="1" si="9"/>
        <v>ADMIN_Duomenys!$W$5:$W$12</v>
      </c>
    </row>
    <row r="55" spans="1:38" x14ac:dyDescent="0.3">
      <c r="A55" s="70" t="s">
        <v>42</v>
      </c>
      <c r="B55" s="71" t="s">
        <v>239</v>
      </c>
      <c r="C55" s="71" t="s">
        <v>245</v>
      </c>
      <c r="D55" s="71" t="s">
        <v>246</v>
      </c>
      <c r="E55" s="72">
        <v>8</v>
      </c>
      <c r="F55" s="73"/>
      <c r="G55" s="74"/>
      <c r="H55" s="75">
        <f t="shared" si="0"/>
        <v>3</v>
      </c>
      <c r="I55" s="16" t="str">
        <f t="shared" si="1"/>
        <v>Jolanta KONTVAINIENĖ</v>
      </c>
      <c r="J55" s="76" t="str">
        <f t="shared" si="2"/>
        <v>A|WITSEE MELGA|3</v>
      </c>
      <c r="K55" s="77" t="str">
        <f t="shared" si="3"/>
        <v/>
      </c>
      <c r="L55" s="78" t="str">
        <f t="shared" si="4"/>
        <v/>
      </c>
      <c r="M55" s="4"/>
      <c r="N55" s="79">
        <f>IF(OR($A55="",$B55=""),0,IF(COUNTIFS($A$5:$A55,$A55,$B$5:$B55,$B55)=1,1,0))</f>
        <v>0</v>
      </c>
      <c r="O55" s="79" t="str">
        <f t="shared" si="5"/>
        <v/>
      </c>
      <c r="P55" s="79" t="str">
        <f t="shared" si="6"/>
        <v/>
      </c>
      <c r="AL55" s="89" t="str">
        <f t="shared" ca="1" si="9"/>
        <v>ADMIN_Duomenys!$W$5:$W$12</v>
      </c>
    </row>
    <row r="56" spans="1:38" x14ac:dyDescent="0.3">
      <c r="A56" s="70" t="s">
        <v>42</v>
      </c>
      <c r="B56" s="71" t="s">
        <v>239</v>
      </c>
      <c r="C56" s="71" t="s">
        <v>247</v>
      </c>
      <c r="D56" s="71" t="s">
        <v>248</v>
      </c>
      <c r="E56" s="72">
        <v>0</v>
      </c>
      <c r="F56" s="73"/>
      <c r="G56" s="74"/>
      <c r="H56" s="75">
        <f t="shared" si="0"/>
        <v>5</v>
      </c>
      <c r="I56" s="16" t="str">
        <f t="shared" si="1"/>
        <v>Laurynas NARUŠIS</v>
      </c>
      <c r="J56" s="76" t="str">
        <f t="shared" si="2"/>
        <v>A|WITSEE MELGA|5</v>
      </c>
      <c r="K56" s="77" t="str">
        <f t="shared" si="3"/>
        <v/>
      </c>
      <c r="L56" s="78" t="str">
        <f t="shared" si="4"/>
        <v/>
      </c>
      <c r="M56" s="4"/>
      <c r="N56" s="79">
        <f>IF(OR($A56="",$B56=""),0,IF(COUNTIFS($A$5:$A56,$A56,$B$5:$B56,$B56)=1,1,0))</f>
        <v>0</v>
      </c>
      <c r="O56" s="79" t="str">
        <f t="shared" si="5"/>
        <v/>
      </c>
      <c r="P56" s="79" t="str">
        <f t="shared" si="6"/>
        <v/>
      </c>
      <c r="AL56" s="89" t="str">
        <f t="shared" ca="1" si="9"/>
        <v>ADMIN_Duomenys!$W$5:$W$12</v>
      </c>
    </row>
    <row r="57" spans="1:38" x14ac:dyDescent="0.3">
      <c r="A57" s="70" t="s">
        <v>42</v>
      </c>
      <c r="B57" s="71" t="s">
        <v>239</v>
      </c>
      <c r="C57" s="71" t="s">
        <v>249</v>
      </c>
      <c r="D57" s="71" t="s">
        <v>248</v>
      </c>
      <c r="E57" s="72">
        <v>0</v>
      </c>
      <c r="F57" s="73"/>
      <c r="G57" s="74"/>
      <c r="H57" s="75">
        <f t="shared" si="0"/>
        <v>7</v>
      </c>
      <c r="I57" s="16" t="str">
        <f t="shared" si="1"/>
        <v>Raimondas NARUŠIS</v>
      </c>
      <c r="J57" s="76" t="str">
        <f t="shared" si="2"/>
        <v>A|WITSEE MELGA|7</v>
      </c>
      <c r="K57" s="77" t="str">
        <f t="shared" si="3"/>
        <v/>
      </c>
      <c r="L57" s="78" t="str">
        <f t="shared" si="4"/>
        <v/>
      </c>
      <c r="M57" s="4"/>
      <c r="N57" s="79">
        <f>IF(OR($A57="",$B57=""),0,IF(COUNTIFS($A$5:$A57,$A57,$B$5:$B57,$B57)=1,1,0))</f>
        <v>0</v>
      </c>
      <c r="O57" s="79" t="str">
        <f t="shared" si="5"/>
        <v/>
      </c>
      <c r="P57" s="79" t="str">
        <f t="shared" si="6"/>
        <v/>
      </c>
      <c r="AL57" s="89" t="str">
        <f t="shared" ca="1" si="9"/>
        <v>ADMIN_Duomenys!$W$5:$W$12</v>
      </c>
    </row>
    <row r="58" spans="1:38" x14ac:dyDescent="0.3">
      <c r="A58" s="70" t="s">
        <v>42</v>
      </c>
      <c r="B58" s="71" t="s">
        <v>239</v>
      </c>
      <c r="C58" s="71" t="s">
        <v>250</v>
      </c>
      <c r="D58" s="71" t="s">
        <v>251</v>
      </c>
      <c r="E58" s="72">
        <v>8</v>
      </c>
      <c r="F58" s="73"/>
      <c r="G58" s="74"/>
      <c r="H58" s="75">
        <f t="shared" si="0"/>
        <v>6</v>
      </c>
      <c r="I58" s="16" t="str">
        <f t="shared" si="1"/>
        <v>Marija ŽIOGĖ</v>
      </c>
      <c r="J58" s="76" t="str">
        <f t="shared" si="2"/>
        <v>A|WITSEE MELGA|6</v>
      </c>
      <c r="K58" s="77" t="str">
        <f t="shared" si="3"/>
        <v/>
      </c>
      <c r="L58" s="78" t="str">
        <f t="shared" si="4"/>
        <v/>
      </c>
      <c r="M58" s="4"/>
      <c r="N58" s="79">
        <f>IF(OR($A58="",$B58=""),0,IF(COUNTIFS($A$5:$A58,$A58,$B$5:$B58,$B58)=1,1,0))</f>
        <v>0</v>
      </c>
      <c r="O58" s="79" t="str">
        <f t="shared" si="5"/>
        <v/>
      </c>
      <c r="P58" s="79" t="str">
        <f t="shared" si="6"/>
        <v/>
      </c>
      <c r="AL58" s="89" t="str">
        <f t="shared" ca="1" si="9"/>
        <v>ADMIN_Duomenys!$W$5:$W$12</v>
      </c>
    </row>
    <row r="59" spans="1:38" x14ac:dyDescent="0.3">
      <c r="A59" s="70" t="s">
        <v>252</v>
      </c>
      <c r="B59" s="71" t="s">
        <v>253</v>
      </c>
      <c r="C59" s="71" t="s">
        <v>254</v>
      </c>
      <c r="D59" s="71" t="s">
        <v>255</v>
      </c>
      <c r="E59" s="72">
        <v>0</v>
      </c>
      <c r="F59" s="73" t="s">
        <v>256</v>
      </c>
      <c r="G59" s="74"/>
      <c r="H59" s="75">
        <f t="shared" si="0"/>
        <v>1</v>
      </c>
      <c r="I59" s="16" t="str">
        <f t="shared" si="1"/>
        <v>Arnór Ingi BJARKASON</v>
      </c>
      <c r="J59" s="76" t="str">
        <f t="shared" si="2"/>
        <v>B|7&amp;10|1</v>
      </c>
      <c r="K59" s="77" t="str">
        <f t="shared" si="3"/>
        <v/>
      </c>
      <c r="L59" s="78" t="str">
        <f t="shared" si="4"/>
        <v/>
      </c>
      <c r="M59" s="4"/>
      <c r="N59" s="79">
        <f>IF(OR($A59="",$B59=""),0,IF(COUNTIFS($A$5:$A59,$A59,$B$5:$B59,$B59)=1,1,0))</f>
        <v>1</v>
      </c>
      <c r="O59" s="79">
        <f t="shared" si="5"/>
        <v>1</v>
      </c>
      <c r="P59" s="79" t="str">
        <f t="shared" si="6"/>
        <v/>
      </c>
      <c r="AL59" s="89" t="str">
        <f t="shared" ca="1" si="9"/>
        <v>ADMIN_Duomenys!$Y$5:$Y$18</v>
      </c>
    </row>
    <row r="60" spans="1:38" x14ac:dyDescent="0.3">
      <c r="A60" s="70" t="s">
        <v>252</v>
      </c>
      <c r="B60" s="71" t="s">
        <v>253</v>
      </c>
      <c r="C60" s="71" t="s">
        <v>223</v>
      </c>
      <c r="D60" s="71" t="s">
        <v>257</v>
      </c>
      <c r="E60" s="72">
        <v>0</v>
      </c>
      <c r="F60" s="73" t="s">
        <v>256</v>
      </c>
      <c r="G60" s="74"/>
      <c r="H60" s="75">
        <f t="shared" si="0"/>
        <v>4</v>
      </c>
      <c r="I60" s="16" t="str">
        <f t="shared" si="1"/>
        <v>Osvaldas ČESONIS</v>
      </c>
      <c r="J60" s="76" t="str">
        <f t="shared" si="2"/>
        <v>B|7&amp;10|4</v>
      </c>
      <c r="K60" s="77" t="str">
        <f t="shared" si="3"/>
        <v/>
      </c>
      <c r="L60" s="78" t="str">
        <f t="shared" si="4"/>
        <v/>
      </c>
      <c r="M60" s="4"/>
      <c r="N60" s="79">
        <f>IF(OR($A60="",$B60=""),0,IF(COUNTIFS($A$5:$A60,$A60,$B$5:$B60,$B60)=1,1,0))</f>
        <v>0</v>
      </c>
      <c r="O60" s="79" t="str">
        <f t="shared" si="5"/>
        <v/>
      </c>
      <c r="P60" s="79" t="str">
        <f t="shared" si="6"/>
        <v/>
      </c>
      <c r="AL60" s="89" t="str">
        <f t="shared" ca="1" si="9"/>
        <v>ADMIN_Duomenys!$Y$5:$Y$18</v>
      </c>
    </row>
    <row r="61" spans="1:38" x14ac:dyDescent="0.3">
      <c r="A61" s="70" t="s">
        <v>252</v>
      </c>
      <c r="B61" s="71" t="s">
        <v>253</v>
      </c>
      <c r="C61" s="71" t="s">
        <v>194</v>
      </c>
      <c r="D61" s="71" t="s">
        <v>258</v>
      </c>
      <c r="E61" s="72">
        <v>0</v>
      </c>
      <c r="F61" s="73" t="s">
        <v>256</v>
      </c>
      <c r="G61" s="74"/>
      <c r="H61" s="75">
        <f t="shared" si="0"/>
        <v>3</v>
      </c>
      <c r="I61" s="16" t="str">
        <f t="shared" si="1"/>
        <v>Kęstutis DRŪTEIKA</v>
      </c>
      <c r="J61" s="76" t="str">
        <f t="shared" si="2"/>
        <v>B|7&amp;10|3</v>
      </c>
      <c r="K61" s="77" t="str">
        <f t="shared" si="3"/>
        <v/>
      </c>
      <c r="L61" s="78" t="str">
        <f t="shared" si="4"/>
        <v/>
      </c>
      <c r="M61" s="4"/>
      <c r="N61" s="79">
        <f>IF(OR($A61="",$B61=""),0,IF(COUNTIFS($A$5:$A61,$A61,$B$5:$B61,$B61)=1,1,0))</f>
        <v>0</v>
      </c>
      <c r="O61" s="79" t="str">
        <f t="shared" si="5"/>
        <v/>
      </c>
      <c r="P61" s="79" t="str">
        <f t="shared" si="6"/>
        <v/>
      </c>
      <c r="AL61" s="89" t="str">
        <f t="shared" ca="1" si="9"/>
        <v>ADMIN_Duomenys!$Y$5:$Y$18</v>
      </c>
    </row>
    <row r="62" spans="1:38" x14ac:dyDescent="0.3">
      <c r="A62" s="70" t="s">
        <v>252</v>
      </c>
      <c r="B62" s="71" t="s">
        <v>253</v>
      </c>
      <c r="C62" s="71" t="s">
        <v>259</v>
      </c>
      <c r="D62" s="71" t="s">
        <v>175</v>
      </c>
      <c r="E62" s="72">
        <v>0</v>
      </c>
      <c r="F62" s="73" t="s">
        <v>256</v>
      </c>
      <c r="G62" s="74"/>
      <c r="H62" s="75">
        <f t="shared" si="0"/>
        <v>5</v>
      </c>
      <c r="I62" s="16" t="str">
        <f t="shared" si="1"/>
        <v>Sergejus FIODOROVAS</v>
      </c>
      <c r="J62" s="76" t="str">
        <f t="shared" si="2"/>
        <v>B|7&amp;10|5</v>
      </c>
      <c r="K62" s="77" t="str">
        <f t="shared" si="3"/>
        <v/>
      </c>
      <c r="L62" s="78" t="str">
        <f t="shared" si="4"/>
        <v/>
      </c>
      <c r="M62" s="4"/>
      <c r="N62" s="79">
        <f>IF(OR($A62="",$B62=""),0,IF(COUNTIFS($A$5:$A62,$A62,$B$5:$B62,$B62)=1,1,0))</f>
        <v>0</v>
      </c>
      <c r="O62" s="79" t="str">
        <f t="shared" si="5"/>
        <v/>
      </c>
      <c r="P62" s="79" t="str">
        <f t="shared" si="6"/>
        <v/>
      </c>
      <c r="AL62" s="89" t="str">
        <f t="shared" ca="1" si="9"/>
        <v>ADMIN_Duomenys!$Y$5:$Y$18</v>
      </c>
    </row>
    <row r="63" spans="1:38" x14ac:dyDescent="0.3">
      <c r="A63" s="70" t="s">
        <v>252</v>
      </c>
      <c r="B63" s="71" t="s">
        <v>253</v>
      </c>
      <c r="C63" s="71" t="s">
        <v>192</v>
      </c>
      <c r="D63" s="71" t="s">
        <v>260</v>
      </c>
      <c r="E63" s="72">
        <v>0</v>
      </c>
      <c r="F63" s="73" t="s">
        <v>256</v>
      </c>
      <c r="G63" s="74"/>
      <c r="H63" s="75">
        <f t="shared" si="0"/>
        <v>6</v>
      </c>
      <c r="I63" s="16" t="str">
        <f t="shared" si="1"/>
        <v>Vadim SEMIONOV</v>
      </c>
      <c r="J63" s="76" t="str">
        <f t="shared" si="2"/>
        <v>B|7&amp;10|6</v>
      </c>
      <c r="K63" s="77" t="str">
        <f t="shared" si="3"/>
        <v/>
      </c>
      <c r="L63" s="78" t="str">
        <f t="shared" si="4"/>
        <v/>
      </c>
      <c r="M63" s="4"/>
      <c r="N63" s="79">
        <f>IF(OR($A63="",$B63=""),0,IF(COUNTIFS($A$5:$A63,$A63,$B$5:$B63,$B63)=1,1,0))</f>
        <v>0</v>
      </c>
      <c r="O63" s="79" t="str">
        <f t="shared" si="5"/>
        <v/>
      </c>
      <c r="P63" s="79" t="str">
        <f t="shared" si="6"/>
        <v/>
      </c>
      <c r="AL63" s="89" t="str">
        <f t="shared" ca="1" si="9"/>
        <v>ADMIN_Duomenys!$Y$5:$Y$18</v>
      </c>
    </row>
    <row r="64" spans="1:38" x14ac:dyDescent="0.3">
      <c r="A64" s="70" t="s">
        <v>252</v>
      </c>
      <c r="B64" s="71" t="s">
        <v>253</v>
      </c>
      <c r="C64" s="71" t="s">
        <v>261</v>
      </c>
      <c r="D64" s="71" t="s">
        <v>262</v>
      </c>
      <c r="E64" s="72">
        <v>0</v>
      </c>
      <c r="F64" s="73" t="s">
        <v>256</v>
      </c>
      <c r="G64" s="74"/>
      <c r="H64" s="75">
        <f t="shared" si="0"/>
        <v>7</v>
      </c>
      <c r="I64" s="16" t="str">
        <f t="shared" si="1"/>
        <v>Valdemar STANKEVIČ</v>
      </c>
      <c r="J64" s="76" t="str">
        <f t="shared" si="2"/>
        <v>B|7&amp;10|7</v>
      </c>
      <c r="K64" s="77" t="str">
        <f t="shared" si="3"/>
        <v/>
      </c>
      <c r="L64" s="78" t="str">
        <f t="shared" si="4"/>
        <v/>
      </c>
      <c r="M64" s="4"/>
      <c r="N64" s="79">
        <f>IF(OR($A64="",$B64=""),0,IF(COUNTIFS($A$5:$A64,$A64,$B$5:$B64,$B64)=1,1,0))</f>
        <v>0</v>
      </c>
      <c r="O64" s="79" t="str">
        <f t="shared" si="5"/>
        <v/>
      </c>
      <c r="P64" s="79" t="str">
        <f t="shared" si="6"/>
        <v/>
      </c>
      <c r="AL64" s="89" t="str">
        <f t="shared" ca="1" si="9"/>
        <v>ADMIN_Duomenys!$Y$5:$Y$18</v>
      </c>
    </row>
    <row r="65" spans="1:38" x14ac:dyDescent="0.3">
      <c r="A65" s="70" t="s">
        <v>252</v>
      </c>
      <c r="B65" s="71" t="s">
        <v>253</v>
      </c>
      <c r="C65" s="71" t="s">
        <v>263</v>
      </c>
      <c r="D65" s="71" t="s">
        <v>264</v>
      </c>
      <c r="E65" s="72">
        <v>0</v>
      </c>
      <c r="F65" s="73" t="s">
        <v>256</v>
      </c>
      <c r="G65" s="74"/>
      <c r="H65" s="75">
        <f t="shared" si="0"/>
        <v>2</v>
      </c>
      <c r="I65" s="16" t="str">
        <f t="shared" si="1"/>
        <v>Arūnas VARNELIS</v>
      </c>
      <c r="J65" s="76" t="str">
        <f t="shared" si="2"/>
        <v>B|7&amp;10|2</v>
      </c>
      <c r="K65" s="77" t="str">
        <f t="shared" si="3"/>
        <v/>
      </c>
      <c r="L65" s="78" t="str">
        <f t="shared" si="4"/>
        <v/>
      </c>
      <c r="M65" s="4"/>
      <c r="N65" s="79">
        <f>IF(OR($A65="",$B65=""),0,IF(COUNTIFS($A$5:$A65,$A65,$B$5:$B65,$B65)=1,1,0))</f>
        <v>0</v>
      </c>
      <c r="O65" s="79" t="str">
        <f t="shared" si="5"/>
        <v/>
      </c>
      <c r="P65" s="79" t="str">
        <f t="shared" si="6"/>
        <v/>
      </c>
      <c r="AL65" s="89" t="str">
        <f t="shared" ca="1" si="9"/>
        <v>ADMIN_Duomenys!$Y$5:$Y$18</v>
      </c>
    </row>
    <row r="66" spans="1:38" x14ac:dyDescent="0.3">
      <c r="A66" s="70" t="s">
        <v>252</v>
      </c>
      <c r="B66" s="71" t="s">
        <v>265</v>
      </c>
      <c r="C66" s="71" t="s">
        <v>269</v>
      </c>
      <c r="D66" s="71" t="s">
        <v>270</v>
      </c>
      <c r="E66" s="72">
        <v>0</v>
      </c>
      <c r="F66" s="73" t="s">
        <v>268</v>
      </c>
      <c r="G66" s="74"/>
      <c r="H66" s="75">
        <f t="shared" si="0"/>
        <v>4</v>
      </c>
      <c r="I66" s="16" t="str">
        <f t="shared" si="1"/>
        <v>Matas BARKAUSKAS</v>
      </c>
      <c r="J66" s="76" t="str">
        <f t="shared" si="2"/>
        <v>B|IŠ KARJERO.LT|4</v>
      </c>
      <c r="K66" s="77" t="str">
        <f t="shared" si="3"/>
        <v/>
      </c>
      <c r="L66" s="78" t="str">
        <f t="shared" si="4"/>
        <v/>
      </c>
      <c r="M66" s="4"/>
      <c r="N66" s="79">
        <f>IF(OR($A66="",$B66=""),0,IF(COUNTIFS($A$5:$A66,$A66,$B$5:$B66,$B66)=1,1,0))</f>
        <v>1</v>
      </c>
      <c r="O66" s="79">
        <f t="shared" si="5"/>
        <v>2</v>
      </c>
      <c r="P66" s="79" t="str">
        <f t="shared" si="6"/>
        <v/>
      </c>
      <c r="AL66" s="89" t="str">
        <f t="shared" ca="1" si="9"/>
        <v>ADMIN_Duomenys!$Y$5:$Y$18</v>
      </c>
    </row>
    <row r="67" spans="1:38" x14ac:dyDescent="0.3">
      <c r="A67" s="70" t="s">
        <v>252</v>
      </c>
      <c r="B67" s="71" t="s">
        <v>265</v>
      </c>
      <c r="C67" s="71" t="s">
        <v>266</v>
      </c>
      <c r="D67" s="71" t="s">
        <v>267</v>
      </c>
      <c r="E67" s="72">
        <v>8</v>
      </c>
      <c r="F67" s="73" t="s">
        <v>268</v>
      </c>
      <c r="G67" s="74"/>
      <c r="H67" s="75">
        <f t="shared" si="0"/>
        <v>2</v>
      </c>
      <c r="I67" s="16" t="str">
        <f t="shared" si="1"/>
        <v>Jūratė BUDRYTĖ</v>
      </c>
      <c r="J67" s="76" t="str">
        <f t="shared" si="2"/>
        <v>B|IŠ KARJERO.LT|2</v>
      </c>
      <c r="K67" s="77" t="str">
        <f t="shared" si="3"/>
        <v/>
      </c>
      <c r="L67" s="78" t="str">
        <f t="shared" si="4"/>
        <v/>
      </c>
      <c r="M67" s="4"/>
      <c r="N67" s="79">
        <f>IF(OR($A67="",$B67=""),0,IF(COUNTIFS($A$5:$A67,$A67,$B$5:$B67,$B67)=1,1,0))</f>
        <v>0</v>
      </c>
      <c r="O67" s="79" t="str">
        <f t="shared" si="5"/>
        <v/>
      </c>
      <c r="P67" s="79" t="str">
        <f t="shared" si="6"/>
        <v/>
      </c>
      <c r="AL67" s="89" t="str">
        <f t="shared" ca="1" si="9"/>
        <v>ADMIN_Duomenys!$Y$5:$Y$18</v>
      </c>
    </row>
    <row r="68" spans="1:38" x14ac:dyDescent="0.3">
      <c r="A68" s="70" t="s">
        <v>252</v>
      </c>
      <c r="B68" s="71" t="s">
        <v>265</v>
      </c>
      <c r="C68" s="71" t="s">
        <v>215</v>
      </c>
      <c r="D68" s="71" t="s">
        <v>271</v>
      </c>
      <c r="E68" s="72">
        <v>0</v>
      </c>
      <c r="F68" s="73" t="s">
        <v>268</v>
      </c>
      <c r="G68" s="74"/>
      <c r="H68" s="75">
        <f t="shared" si="0"/>
        <v>5</v>
      </c>
      <c r="I68" s="16" t="str">
        <f t="shared" si="1"/>
        <v>Rimvydas GRIŠKEVIČIUS</v>
      </c>
      <c r="J68" s="76" t="str">
        <f t="shared" si="2"/>
        <v>B|IŠ KARJERO.LT|5</v>
      </c>
      <c r="K68" s="77" t="str">
        <f t="shared" si="3"/>
        <v/>
      </c>
      <c r="L68" s="78" t="str">
        <f t="shared" si="4"/>
        <v/>
      </c>
      <c r="M68" s="4"/>
      <c r="N68" s="79">
        <f>IF(OR($A68="",$B68=""),0,IF(COUNTIFS($A$5:$A68,$A68,$B$5:$B68,$B68)=1,1,0))</f>
        <v>0</v>
      </c>
      <c r="O68" s="79" t="str">
        <f t="shared" si="5"/>
        <v/>
      </c>
      <c r="P68" s="79" t="str">
        <f t="shared" si="6"/>
        <v/>
      </c>
      <c r="AL68" s="89" t="str">
        <f t="shared" ca="1" si="9"/>
        <v>ADMIN_Duomenys!$Y$5:$Y$18</v>
      </c>
    </row>
    <row r="69" spans="1:38" x14ac:dyDescent="0.3">
      <c r="A69" s="70" t="s">
        <v>252</v>
      </c>
      <c r="B69" s="71" t="s">
        <v>265</v>
      </c>
      <c r="C69" s="71" t="s">
        <v>272</v>
      </c>
      <c r="D69" s="71" t="s">
        <v>273</v>
      </c>
      <c r="E69" s="72">
        <v>0</v>
      </c>
      <c r="F69" s="73" t="s">
        <v>268</v>
      </c>
      <c r="G69" s="74"/>
      <c r="H69" s="75">
        <f t="shared" ref="H69:H132" si="10">IF(OR($A69="",$B69="",$I69=""),"",SUMPRODUCT(($A$5:$A$604=$A69)*($B$5:$B$604=$B69)*($I$5:$I$604&lt;&gt;"")*($I$5:$I$604&lt;$I69))+SUMPRODUCT(($A$5:$A$604=$A69)*($B$5:$B$604=$B69)*($I$5:$I$604=$I69)*(ROW($I$5:$I$604)&lt;=ROW($I69))))</f>
        <v>7</v>
      </c>
      <c r="I69" s="16" t="str">
        <f t="shared" ref="I69:I132" si="11">IF(TRIM($C69&amp;$D69)="","",PROPER(TRIM($C69))&amp;" "&amp;UPPER(TRIM($D69)))</f>
        <v>Žydrūnas MIKULEVIČIUS</v>
      </c>
      <c r="J69" s="76" t="str">
        <f t="shared" ref="J69:J132" si="12">IF(OR($A69="",$B69="",$H69=""),"",$A69&amp;"|"&amp;$B69&amp;"|"&amp;$H69)</f>
        <v>B|IŠ KARJERO.LT|7</v>
      </c>
      <c r="K69" s="77" t="str">
        <f t="shared" ref="K69:K132" si="13">IF(COUNTA($A69:$E69)=0,"",IF($A69="","← Nurodykite lygą (A / B / C)",IF($B69="","← Nurodykite komandą",IF(TRIM($C69)="","← Nurodykite vardą",IF(TRIM($D69)="","← Nurodykite pavardę",IF(NOT(ISNUMBER($E69)),"← Nurodykite Hcp (jei neturi – 0)",IF(AND(OR($A69="B",$A69="C"),NOT(OR($F69="Rytai",$F69="Vakarai"))),"← Nurodykite pogrupį (Rytai / Vakarai)",IF(AND($A69="A",OR($F69="Rytai",$F69="Vakarai")),"← A lygos komandos į pogrupius neskirstomos",IF(COUNTIFS($A$5:$A$604,$A69,$B$5:$B$604,$B69,$F$5:$F$604,"&lt;&gt;"&amp;$F69)&gt;0,"← Šios komandos pogrupis nurodytas nevienodai",IF($H69&gt;8,"← Šioje komandoje jau daugiau nei 8 žaidėjai",""))))))))))</f>
        <v/>
      </c>
      <c r="L69" s="78" t="str">
        <f t="shared" ref="L69:L132" si="14">IF($I69="","",IF(COUNTIF($I$5:$I$604,$I69)&gt;1,"ℹ tokių pačių vardų sąraše: "&amp;COUNTIF($I$5:$I$604,$I69),IF(AND($B69&lt;&gt;"",COUNTIFS($A$5:$A$604,$A69,$B$5:$B$604,$B69)&lt;3),"ℹ šioje komandoje tik "&amp;COUNTIFS($A$5:$A$604,$A69,$B$5:$B$604,$B69)&amp;" žaid. – ar ne rašybos klaida?","")))</f>
        <v/>
      </c>
      <c r="M69" s="4"/>
      <c r="N69" s="79">
        <f>IF(OR($A69="",$B69=""),0,IF(COUNTIFS($A$5:$A69,$A69,$B$5:$B69,$B69)=1,1,0))</f>
        <v>0</v>
      </c>
      <c r="O69" s="79" t="str">
        <f t="shared" ref="O69:O132" si="15">IF($N69&lt;&gt;1,"",1+SUMPRODUCT(($A$5:$A$604=$A69)*($B$5:$B$604&lt;$B69)*($N$5:$N$604=1)))</f>
        <v/>
      </c>
      <c r="P69" s="79" t="str">
        <f t="shared" ref="P69:P132" si="16">IF(OR($N69&lt;&gt;1,$A69&lt;&gt;Lyga,AND(Pogrupis&lt;&gt;"",$F69&lt;&gt;Pogrupis)),"",1+SUMPRODUCT(($A$5:$A$604=Lyga)*($N$5:$N$604=1)*($B$5:$B$604&lt;$B69)*((($F$5:$F$604=Pogrupis)+(Pogrupis=""))&gt;0)))</f>
        <v/>
      </c>
      <c r="AL69" s="89" t="str">
        <f t="shared" ref="AL69:AL132" ca="1" si="17">IF(NOT(OR($A69="A",$A69="B",$A69="C")),"","ADMIN_Duomenys!$"&amp;IF($A69="A","W",IF($A69="B","Y","AA"))&amp;"$5:$"&amp;IF($A69="A","W",IF($A69="B","Y","AA"))&amp;"$"&amp;(4+MAX(1,COUNTIF(INDIRECT("ADMIN_Duomenys!$"&amp;IF($A69="A","W",IF($A69="B","Y","AA"))&amp;"$5:$"&amp;IF($A69="A","W",IF($A69="B","Y","AA"))&amp;"$44"),"?*"))))</f>
        <v>ADMIN_Duomenys!$Y$5:$Y$18</v>
      </c>
    </row>
    <row r="70" spans="1:38" x14ac:dyDescent="0.3">
      <c r="A70" s="70" t="s">
        <v>252</v>
      </c>
      <c r="B70" s="71" t="s">
        <v>265</v>
      </c>
      <c r="C70" s="71" t="s">
        <v>274</v>
      </c>
      <c r="D70" s="71" t="s">
        <v>275</v>
      </c>
      <c r="E70" s="72">
        <v>0</v>
      </c>
      <c r="F70" s="73" t="s">
        <v>268</v>
      </c>
      <c r="G70" s="74"/>
      <c r="H70" s="75">
        <f t="shared" si="10"/>
        <v>1</v>
      </c>
      <c r="I70" s="16" t="str">
        <f t="shared" si="11"/>
        <v>Alvydas MURAUSKAS</v>
      </c>
      <c r="J70" s="76" t="str">
        <f t="shared" si="12"/>
        <v>B|IŠ KARJERO.LT|1</v>
      </c>
      <c r="K70" s="77" t="str">
        <f t="shared" si="13"/>
        <v/>
      </c>
      <c r="L70" s="78" t="str">
        <f t="shared" si="14"/>
        <v/>
      </c>
      <c r="M70" s="4"/>
      <c r="N70" s="79">
        <f>IF(OR($A70="",$B70=""),0,IF(COUNTIFS($A$5:$A70,$A70,$B$5:$B70,$B70)=1,1,0))</f>
        <v>0</v>
      </c>
      <c r="O70" s="79" t="str">
        <f t="shared" si="15"/>
        <v/>
      </c>
      <c r="P70" s="79" t="str">
        <f t="shared" si="16"/>
        <v/>
      </c>
      <c r="AL70" s="89" t="str">
        <f t="shared" ca="1" si="17"/>
        <v>ADMIN_Duomenys!$Y$5:$Y$18</v>
      </c>
    </row>
    <row r="71" spans="1:38" x14ac:dyDescent="0.3">
      <c r="A71" s="70" t="s">
        <v>252</v>
      </c>
      <c r="B71" s="71" t="s">
        <v>265</v>
      </c>
      <c r="C71" s="71" t="s">
        <v>278</v>
      </c>
      <c r="D71" s="71" t="s">
        <v>279</v>
      </c>
      <c r="E71" s="72">
        <v>0</v>
      </c>
      <c r="F71" s="73" t="s">
        <v>268</v>
      </c>
      <c r="G71" s="74"/>
      <c r="H71" s="75">
        <f t="shared" si="10"/>
        <v>6</v>
      </c>
      <c r="I71" s="16" t="str">
        <f t="shared" si="11"/>
        <v>Vitalij NICIN</v>
      </c>
      <c r="J71" s="76" t="str">
        <f t="shared" si="12"/>
        <v>B|IŠ KARJERO.LT|6</v>
      </c>
      <c r="K71" s="77" t="str">
        <f t="shared" si="13"/>
        <v/>
      </c>
      <c r="L71" s="78" t="str">
        <f t="shared" si="14"/>
        <v/>
      </c>
      <c r="M71" s="4"/>
      <c r="N71" s="79">
        <f>IF(OR($A71="",$B71=""),0,IF(COUNTIFS($A$5:$A71,$A71,$B$5:$B71,$B71)=1,1,0))</f>
        <v>0</v>
      </c>
      <c r="O71" s="79" t="str">
        <f t="shared" si="15"/>
        <v/>
      </c>
      <c r="P71" s="79" t="str">
        <f t="shared" si="16"/>
        <v/>
      </c>
      <c r="AL71" s="89" t="str">
        <f t="shared" ca="1" si="17"/>
        <v>ADMIN_Duomenys!$Y$5:$Y$18</v>
      </c>
    </row>
    <row r="72" spans="1:38" x14ac:dyDescent="0.3">
      <c r="A72" s="70" t="s">
        <v>252</v>
      </c>
      <c r="B72" s="71" t="s">
        <v>265</v>
      </c>
      <c r="C72" s="71" t="s">
        <v>276</v>
      </c>
      <c r="D72" s="71" t="s">
        <v>277</v>
      </c>
      <c r="E72" s="72">
        <v>0</v>
      </c>
      <c r="F72" s="73" t="s">
        <v>268</v>
      </c>
      <c r="G72" s="74"/>
      <c r="H72" s="75">
        <f t="shared" si="10"/>
        <v>3</v>
      </c>
      <c r="I72" s="16" t="str">
        <f t="shared" si="11"/>
        <v>Kastytis VITKUS</v>
      </c>
      <c r="J72" s="76" t="str">
        <f t="shared" si="12"/>
        <v>B|IŠ KARJERO.LT|3</v>
      </c>
      <c r="K72" s="77" t="str">
        <f t="shared" si="13"/>
        <v/>
      </c>
      <c r="L72" s="78" t="str">
        <f t="shared" si="14"/>
        <v/>
      </c>
      <c r="M72" s="4"/>
      <c r="N72" s="79">
        <f>IF(OR($A72="",$B72=""),0,IF(COUNTIFS($A$5:$A72,$A72,$B$5:$B72,$B72)=1,1,0))</f>
        <v>0</v>
      </c>
      <c r="O72" s="79" t="str">
        <f t="shared" si="15"/>
        <v/>
      </c>
      <c r="P72" s="79" t="str">
        <f t="shared" si="16"/>
        <v/>
      </c>
      <c r="AL72" s="89" t="str">
        <f t="shared" ca="1" si="17"/>
        <v>ADMIN_Duomenys!$Y$5:$Y$18</v>
      </c>
    </row>
    <row r="73" spans="1:38" x14ac:dyDescent="0.3">
      <c r="A73" s="70" t="s">
        <v>252</v>
      </c>
      <c r="B73" s="71" t="s">
        <v>280</v>
      </c>
      <c r="C73" s="71" t="s">
        <v>281</v>
      </c>
      <c r="D73" s="71" t="s">
        <v>282</v>
      </c>
      <c r="E73" s="72">
        <v>0</v>
      </c>
      <c r="F73" s="73" t="s">
        <v>268</v>
      </c>
      <c r="G73" s="74"/>
      <c r="H73" s="75">
        <f t="shared" si="10"/>
        <v>3</v>
      </c>
      <c r="I73" s="16" t="str">
        <f t="shared" si="11"/>
        <v>Darius BALTRIMAS</v>
      </c>
      <c r="J73" s="76" t="str">
        <f t="shared" si="12"/>
        <v>B|KLAIPĖDOS BŪRYS|3</v>
      </c>
      <c r="K73" s="77" t="str">
        <f t="shared" si="13"/>
        <v/>
      </c>
      <c r="L73" s="78" t="str">
        <f t="shared" si="14"/>
        <v/>
      </c>
      <c r="M73" s="4"/>
      <c r="N73" s="79">
        <f>IF(OR($A73="",$B73=""),0,IF(COUNTIFS($A$5:$A73,$A73,$B$5:$B73,$B73)=1,1,0))</f>
        <v>1</v>
      </c>
      <c r="O73" s="79">
        <f t="shared" si="15"/>
        <v>3</v>
      </c>
      <c r="P73" s="79" t="str">
        <f t="shared" si="16"/>
        <v/>
      </c>
      <c r="AL73" s="89" t="str">
        <f t="shared" ca="1" si="17"/>
        <v>ADMIN_Duomenys!$Y$5:$Y$18</v>
      </c>
    </row>
    <row r="74" spans="1:38" x14ac:dyDescent="0.3">
      <c r="A74" s="70" t="s">
        <v>252</v>
      </c>
      <c r="B74" s="71" t="s">
        <v>280</v>
      </c>
      <c r="C74" s="71" t="s">
        <v>283</v>
      </c>
      <c r="D74" s="71" t="s">
        <v>284</v>
      </c>
      <c r="E74" s="72">
        <v>0</v>
      </c>
      <c r="F74" s="73" t="s">
        <v>268</v>
      </c>
      <c r="G74" s="74"/>
      <c r="H74" s="75">
        <f t="shared" si="10"/>
        <v>4</v>
      </c>
      <c r="I74" s="16" t="str">
        <f t="shared" si="11"/>
        <v>Domas GEDRIMAS</v>
      </c>
      <c r="J74" s="76" t="str">
        <f t="shared" si="12"/>
        <v>B|KLAIPĖDOS BŪRYS|4</v>
      </c>
      <c r="K74" s="77" t="str">
        <f t="shared" si="13"/>
        <v/>
      </c>
      <c r="L74" s="78" t="str">
        <f t="shared" si="14"/>
        <v/>
      </c>
      <c r="M74" s="4"/>
      <c r="N74" s="79">
        <f>IF(OR($A74="",$B74=""),0,IF(COUNTIFS($A$5:$A74,$A74,$B$5:$B74,$B74)=1,1,0))</f>
        <v>0</v>
      </c>
      <c r="O74" s="79" t="str">
        <f t="shared" si="15"/>
        <v/>
      </c>
      <c r="P74" s="79" t="str">
        <f t="shared" si="16"/>
        <v/>
      </c>
      <c r="AL74" s="89" t="str">
        <f t="shared" ca="1" si="17"/>
        <v>ADMIN_Duomenys!$Y$5:$Y$18</v>
      </c>
    </row>
    <row r="75" spans="1:38" x14ac:dyDescent="0.3">
      <c r="A75" s="70" t="s">
        <v>252</v>
      </c>
      <c r="B75" s="71" t="s">
        <v>280</v>
      </c>
      <c r="C75" s="71" t="s">
        <v>285</v>
      </c>
      <c r="D75" s="71" t="s">
        <v>286</v>
      </c>
      <c r="E75" s="72">
        <v>0</v>
      </c>
      <c r="F75" s="73" t="s">
        <v>268</v>
      </c>
      <c r="G75" s="74"/>
      <c r="H75" s="75">
        <f t="shared" si="10"/>
        <v>6</v>
      </c>
      <c r="I75" s="16" t="str">
        <f t="shared" si="11"/>
        <v>Žingirdas NAIMAVIČIUS</v>
      </c>
      <c r="J75" s="76" t="str">
        <f t="shared" si="12"/>
        <v>B|KLAIPĖDOS BŪRYS|6</v>
      </c>
      <c r="K75" s="77" t="str">
        <f t="shared" si="13"/>
        <v/>
      </c>
      <c r="L75" s="78" t="str">
        <f t="shared" si="14"/>
        <v/>
      </c>
      <c r="M75" s="4"/>
      <c r="N75" s="79">
        <f>IF(OR($A75="",$B75=""),0,IF(COUNTIFS($A$5:$A75,$A75,$B$5:$B75,$B75)=1,1,0))</f>
        <v>0</v>
      </c>
      <c r="O75" s="79" t="str">
        <f t="shared" si="15"/>
        <v/>
      </c>
      <c r="P75" s="79" t="str">
        <f t="shared" si="16"/>
        <v/>
      </c>
      <c r="AL75" s="89" t="str">
        <f t="shared" ca="1" si="17"/>
        <v>ADMIN_Duomenys!$Y$5:$Y$18</v>
      </c>
    </row>
    <row r="76" spans="1:38" x14ac:dyDescent="0.3">
      <c r="A76" s="70" t="s">
        <v>252</v>
      </c>
      <c r="B76" s="71" t="s">
        <v>280</v>
      </c>
      <c r="C76" s="71" t="s">
        <v>289</v>
      </c>
      <c r="D76" s="71" t="s">
        <v>290</v>
      </c>
      <c r="E76" s="72">
        <v>0</v>
      </c>
      <c r="F76" s="73" t="s">
        <v>268</v>
      </c>
      <c r="G76" s="74"/>
      <c r="H76" s="75">
        <f t="shared" si="10"/>
        <v>5</v>
      </c>
      <c r="I76" s="16" t="str">
        <f t="shared" si="11"/>
        <v>Saulius SAUDARGAS</v>
      </c>
      <c r="J76" s="76" t="str">
        <f t="shared" si="12"/>
        <v>B|KLAIPĖDOS BŪRYS|5</v>
      </c>
      <c r="K76" s="77" t="str">
        <f t="shared" si="13"/>
        <v/>
      </c>
      <c r="L76" s="78" t="str">
        <f t="shared" si="14"/>
        <v/>
      </c>
      <c r="M76" s="4"/>
      <c r="N76" s="79">
        <f>IF(OR($A76="",$B76=""),0,IF(COUNTIFS($A$5:$A76,$A76,$B$5:$B76,$B76)=1,1,0))</f>
        <v>0</v>
      </c>
      <c r="O76" s="79" t="str">
        <f t="shared" si="15"/>
        <v/>
      </c>
      <c r="P76" s="79" t="str">
        <f t="shared" si="16"/>
        <v/>
      </c>
      <c r="AL76" s="89" t="str">
        <f t="shared" ca="1" si="17"/>
        <v>ADMIN_Duomenys!$Y$5:$Y$18</v>
      </c>
    </row>
    <row r="77" spans="1:38" x14ac:dyDescent="0.3">
      <c r="A77" s="70" t="s">
        <v>252</v>
      </c>
      <c r="B77" s="71" t="s">
        <v>280</v>
      </c>
      <c r="C77" s="71" t="s">
        <v>287</v>
      </c>
      <c r="D77" s="71" t="s">
        <v>288</v>
      </c>
      <c r="E77" s="72">
        <v>0</v>
      </c>
      <c r="F77" s="73" t="s">
        <v>268</v>
      </c>
      <c r="G77" s="74"/>
      <c r="H77" s="75">
        <f t="shared" si="10"/>
        <v>1</v>
      </c>
      <c r="I77" s="16" t="str">
        <f t="shared" si="11"/>
        <v>Algimantas STONKUS</v>
      </c>
      <c r="J77" s="76" t="str">
        <f t="shared" si="12"/>
        <v>B|KLAIPĖDOS BŪRYS|1</v>
      </c>
      <c r="K77" s="77" t="str">
        <f t="shared" si="13"/>
        <v/>
      </c>
      <c r="L77" s="78" t="str">
        <f t="shared" si="14"/>
        <v/>
      </c>
      <c r="M77" s="4"/>
      <c r="N77" s="79">
        <f>IF(OR($A77="",$B77=""),0,IF(COUNTIFS($A$5:$A77,$A77,$B$5:$B77,$B77)=1,1,0))</f>
        <v>0</v>
      </c>
      <c r="O77" s="79" t="str">
        <f t="shared" si="15"/>
        <v/>
      </c>
      <c r="P77" s="79" t="str">
        <f t="shared" si="16"/>
        <v/>
      </c>
      <c r="AL77" s="89" t="str">
        <f t="shared" ca="1" si="17"/>
        <v>ADMIN_Duomenys!$Y$5:$Y$18</v>
      </c>
    </row>
    <row r="78" spans="1:38" x14ac:dyDescent="0.3">
      <c r="A78" s="70" t="s">
        <v>252</v>
      </c>
      <c r="B78" s="71" t="s">
        <v>280</v>
      </c>
      <c r="C78" s="71" t="s">
        <v>291</v>
      </c>
      <c r="D78" s="71" t="s">
        <v>292</v>
      </c>
      <c r="E78" s="72">
        <v>0</v>
      </c>
      <c r="F78" s="73" t="s">
        <v>268</v>
      </c>
      <c r="G78" s="74"/>
      <c r="H78" s="75">
        <f t="shared" si="10"/>
        <v>2</v>
      </c>
      <c r="I78" s="16" t="str">
        <f t="shared" si="11"/>
        <v>Andžejus VAITKUS</v>
      </c>
      <c r="J78" s="76" t="str">
        <f t="shared" si="12"/>
        <v>B|KLAIPĖDOS BŪRYS|2</v>
      </c>
      <c r="K78" s="77" t="str">
        <f t="shared" si="13"/>
        <v/>
      </c>
      <c r="L78" s="78" t="str">
        <f t="shared" si="14"/>
        <v/>
      </c>
      <c r="M78" s="4"/>
      <c r="N78" s="79">
        <f>IF(OR($A78="",$B78=""),0,IF(COUNTIFS($A$5:$A78,$A78,$B$5:$B78,$B78)=1,1,0))</f>
        <v>0</v>
      </c>
      <c r="O78" s="79" t="str">
        <f t="shared" si="15"/>
        <v/>
      </c>
      <c r="P78" s="79" t="str">
        <f t="shared" si="16"/>
        <v/>
      </c>
      <c r="AL78" s="89" t="str">
        <f t="shared" ca="1" si="17"/>
        <v>ADMIN_Duomenys!$Y$5:$Y$18</v>
      </c>
    </row>
    <row r="79" spans="1:38" x14ac:dyDescent="0.3">
      <c r="A79" s="70" t="s">
        <v>252</v>
      </c>
      <c r="B79" s="71" t="s">
        <v>293</v>
      </c>
      <c r="C79" s="71" t="s">
        <v>294</v>
      </c>
      <c r="D79" s="71" t="s">
        <v>295</v>
      </c>
      <c r="E79" s="72">
        <v>0</v>
      </c>
      <c r="F79" s="73" t="s">
        <v>256</v>
      </c>
      <c r="G79" s="74"/>
      <c r="H79" s="75">
        <f t="shared" si="10"/>
        <v>5</v>
      </c>
      <c r="I79" s="16" t="str">
        <f t="shared" si="11"/>
        <v>Regimantas ADOMAITIS</v>
      </c>
      <c r="J79" s="76" t="str">
        <f t="shared" si="12"/>
        <v>B|KOPTRANSA|5</v>
      </c>
      <c r="K79" s="77" t="str">
        <f t="shared" si="13"/>
        <v/>
      </c>
      <c r="L79" s="78" t="str">
        <f t="shared" si="14"/>
        <v/>
      </c>
      <c r="M79" s="4"/>
      <c r="N79" s="79">
        <f>IF(OR($A79="",$B79=""),0,IF(COUNTIFS($A$5:$A79,$A79,$B$5:$B79,$B79)=1,1,0))</f>
        <v>1</v>
      </c>
      <c r="O79" s="79">
        <f t="shared" si="15"/>
        <v>4</v>
      </c>
      <c r="P79" s="79" t="str">
        <f t="shared" si="16"/>
        <v/>
      </c>
      <c r="AL79" s="89" t="str">
        <f t="shared" ca="1" si="17"/>
        <v>ADMIN_Duomenys!$Y$5:$Y$18</v>
      </c>
    </row>
    <row r="80" spans="1:38" x14ac:dyDescent="0.3">
      <c r="A80" s="70" t="s">
        <v>252</v>
      </c>
      <c r="B80" s="71" t="s">
        <v>293</v>
      </c>
      <c r="C80" s="71" t="s">
        <v>296</v>
      </c>
      <c r="D80" s="71" t="s">
        <v>297</v>
      </c>
      <c r="E80" s="72">
        <v>0</v>
      </c>
      <c r="F80" s="73" t="s">
        <v>256</v>
      </c>
      <c r="G80" s="74"/>
      <c r="H80" s="75">
        <f t="shared" si="10"/>
        <v>2</v>
      </c>
      <c r="I80" s="16" t="str">
        <f t="shared" si="11"/>
        <v>Erikas DUŠKINAS</v>
      </c>
      <c r="J80" s="76" t="str">
        <f t="shared" si="12"/>
        <v>B|KOPTRANSA|2</v>
      </c>
      <c r="K80" s="77" t="str">
        <f t="shared" si="13"/>
        <v/>
      </c>
      <c r="L80" s="78" t="str">
        <f t="shared" si="14"/>
        <v/>
      </c>
      <c r="M80" s="4"/>
      <c r="N80" s="79">
        <f>IF(OR($A80="",$B80=""),0,IF(COUNTIFS($A$5:$A80,$A80,$B$5:$B80,$B80)=1,1,0))</f>
        <v>0</v>
      </c>
      <c r="O80" s="79" t="str">
        <f t="shared" si="15"/>
        <v/>
      </c>
      <c r="P80" s="79" t="str">
        <f t="shared" si="16"/>
        <v/>
      </c>
      <c r="AL80" s="89" t="str">
        <f t="shared" ca="1" si="17"/>
        <v>ADMIN_Duomenys!$Y$5:$Y$18</v>
      </c>
    </row>
    <row r="81" spans="1:38" x14ac:dyDescent="0.3">
      <c r="A81" s="70" t="s">
        <v>252</v>
      </c>
      <c r="B81" s="71" t="s">
        <v>293</v>
      </c>
      <c r="C81" s="71" t="s">
        <v>298</v>
      </c>
      <c r="D81" s="71" t="s">
        <v>299</v>
      </c>
      <c r="E81" s="72">
        <v>5</v>
      </c>
      <c r="F81" s="73" t="s">
        <v>256</v>
      </c>
      <c r="G81" s="74"/>
      <c r="H81" s="75">
        <f t="shared" si="10"/>
        <v>4</v>
      </c>
      <c r="I81" s="16" t="str">
        <f t="shared" si="11"/>
        <v>Kristupas KLEVINSKAS</v>
      </c>
      <c r="J81" s="76" t="str">
        <f t="shared" si="12"/>
        <v>B|KOPTRANSA|4</v>
      </c>
      <c r="K81" s="77" t="str">
        <f t="shared" si="13"/>
        <v/>
      </c>
      <c r="L81" s="78" t="str">
        <f t="shared" si="14"/>
        <v/>
      </c>
      <c r="M81" s="4"/>
      <c r="N81" s="79">
        <f>IF(OR($A81="",$B81=""),0,IF(COUNTIFS($A$5:$A81,$A81,$B$5:$B81,$B81)=1,1,0))</f>
        <v>0</v>
      </c>
      <c r="O81" s="79" t="str">
        <f t="shared" si="15"/>
        <v/>
      </c>
      <c r="P81" s="79" t="str">
        <f t="shared" si="16"/>
        <v/>
      </c>
      <c r="AL81" s="89" t="str">
        <f t="shared" ca="1" si="17"/>
        <v>ADMIN_Duomenys!$Y$5:$Y$18</v>
      </c>
    </row>
    <row r="82" spans="1:38" x14ac:dyDescent="0.3">
      <c r="A82" s="70" t="s">
        <v>252</v>
      </c>
      <c r="B82" s="71" t="s">
        <v>293</v>
      </c>
      <c r="C82" s="71" t="s">
        <v>266</v>
      </c>
      <c r="D82" s="71" t="s">
        <v>300</v>
      </c>
      <c r="E82" s="72">
        <v>13</v>
      </c>
      <c r="F82" s="73" t="s">
        <v>256</v>
      </c>
      <c r="G82" s="74"/>
      <c r="H82" s="75">
        <f t="shared" si="10"/>
        <v>3</v>
      </c>
      <c r="I82" s="16" t="str">
        <f t="shared" si="11"/>
        <v>Jūratė PALAIMAITĖ</v>
      </c>
      <c r="J82" s="76" t="str">
        <f t="shared" si="12"/>
        <v>B|KOPTRANSA|3</v>
      </c>
      <c r="K82" s="77" t="str">
        <f t="shared" si="13"/>
        <v/>
      </c>
      <c r="L82" s="78" t="str">
        <f t="shared" si="14"/>
        <v/>
      </c>
      <c r="M82" s="4"/>
      <c r="N82" s="79">
        <f>IF(OR($A82="",$B82=""),0,IF(COUNTIFS($A$5:$A82,$A82,$B$5:$B82,$B82)=1,1,0))</f>
        <v>0</v>
      </c>
      <c r="O82" s="79" t="str">
        <f t="shared" si="15"/>
        <v/>
      </c>
      <c r="P82" s="79" t="str">
        <f t="shared" si="16"/>
        <v/>
      </c>
      <c r="AL82" s="89" t="str">
        <f t="shared" ca="1" si="17"/>
        <v>ADMIN_Duomenys!$Y$5:$Y$18</v>
      </c>
    </row>
    <row r="83" spans="1:38" x14ac:dyDescent="0.3">
      <c r="A83" s="70" t="s">
        <v>252</v>
      </c>
      <c r="B83" s="71" t="s">
        <v>293</v>
      </c>
      <c r="C83" s="71" t="s">
        <v>301</v>
      </c>
      <c r="D83" s="71" t="s">
        <v>302</v>
      </c>
      <c r="E83" s="72">
        <v>0</v>
      </c>
      <c r="F83" s="73" t="s">
        <v>256</v>
      </c>
      <c r="G83" s="74"/>
      <c r="H83" s="75">
        <f t="shared" si="10"/>
        <v>6</v>
      </c>
      <c r="I83" s="16" t="str">
        <f t="shared" si="11"/>
        <v>Vaidas PAŠKEVIČIUS</v>
      </c>
      <c r="J83" s="76" t="str">
        <f t="shared" si="12"/>
        <v>B|KOPTRANSA|6</v>
      </c>
      <c r="K83" s="77" t="str">
        <f t="shared" si="13"/>
        <v/>
      </c>
      <c r="L83" s="78" t="str">
        <f t="shared" si="14"/>
        <v/>
      </c>
      <c r="M83" s="4"/>
      <c r="N83" s="79">
        <f>IF(OR($A83="",$B83=""),0,IF(COUNTIFS($A$5:$A83,$A83,$B$5:$B83,$B83)=1,1,0))</f>
        <v>0</v>
      </c>
      <c r="O83" s="79" t="str">
        <f t="shared" si="15"/>
        <v/>
      </c>
      <c r="P83" s="79" t="str">
        <f t="shared" si="16"/>
        <v/>
      </c>
      <c r="AL83" s="89" t="str">
        <f t="shared" ca="1" si="17"/>
        <v>ADMIN_Duomenys!$Y$5:$Y$18</v>
      </c>
    </row>
    <row r="84" spans="1:38" x14ac:dyDescent="0.3">
      <c r="A84" s="70" t="s">
        <v>252</v>
      </c>
      <c r="B84" s="71" t="s">
        <v>293</v>
      </c>
      <c r="C84" s="71" t="s">
        <v>303</v>
      </c>
      <c r="D84" s="71" t="s">
        <v>304</v>
      </c>
      <c r="E84" s="72">
        <v>0</v>
      </c>
      <c r="F84" s="73" t="s">
        <v>256</v>
      </c>
      <c r="G84" s="74"/>
      <c r="H84" s="75">
        <f t="shared" si="10"/>
        <v>1</v>
      </c>
      <c r="I84" s="16" t="str">
        <f t="shared" si="11"/>
        <v>Edvinas SKARBALIUS</v>
      </c>
      <c r="J84" s="76" t="str">
        <f t="shared" si="12"/>
        <v>B|KOPTRANSA|1</v>
      </c>
      <c r="K84" s="77" t="str">
        <f t="shared" si="13"/>
        <v/>
      </c>
      <c r="L84" s="78" t="str">
        <f t="shared" si="14"/>
        <v/>
      </c>
      <c r="M84" s="4"/>
      <c r="N84" s="79">
        <f>IF(OR($A84="",$B84=""),0,IF(COUNTIFS($A$5:$A84,$A84,$B$5:$B84,$B84)=1,1,0))</f>
        <v>0</v>
      </c>
      <c r="O84" s="79" t="str">
        <f t="shared" si="15"/>
        <v/>
      </c>
      <c r="P84" s="79" t="str">
        <f t="shared" si="16"/>
        <v/>
      </c>
      <c r="AL84" s="89" t="str">
        <f t="shared" ca="1" si="17"/>
        <v>ADMIN_Duomenys!$Y$5:$Y$18</v>
      </c>
    </row>
    <row r="85" spans="1:38" x14ac:dyDescent="0.3">
      <c r="A85" s="70" t="s">
        <v>252</v>
      </c>
      <c r="B85" s="71" t="s">
        <v>293</v>
      </c>
      <c r="C85" s="71" t="s">
        <v>305</v>
      </c>
      <c r="D85" s="71" t="s">
        <v>306</v>
      </c>
      <c r="E85" s="72">
        <v>8</v>
      </c>
      <c r="F85" s="73" t="s">
        <v>256</v>
      </c>
      <c r="G85" s="74"/>
      <c r="H85" s="75">
        <f t="shared" si="10"/>
        <v>7</v>
      </c>
      <c r="I85" s="16" t="str">
        <f t="shared" si="11"/>
        <v>Žaneta ŠMIDTIENĖ</v>
      </c>
      <c r="J85" s="76" t="str">
        <f t="shared" si="12"/>
        <v>B|KOPTRANSA|7</v>
      </c>
      <c r="K85" s="77" t="str">
        <f t="shared" si="13"/>
        <v/>
      </c>
      <c r="L85" s="78" t="str">
        <f t="shared" si="14"/>
        <v/>
      </c>
      <c r="M85" s="4"/>
      <c r="N85" s="79">
        <f>IF(OR($A85="",$B85=""),0,IF(COUNTIFS($A$5:$A85,$A85,$B$5:$B85,$B85)=1,1,0))</f>
        <v>0</v>
      </c>
      <c r="O85" s="79" t="str">
        <f t="shared" si="15"/>
        <v/>
      </c>
      <c r="P85" s="79" t="str">
        <f t="shared" si="16"/>
        <v/>
      </c>
      <c r="AL85" s="89" t="str">
        <f t="shared" ca="1" si="17"/>
        <v>ADMIN_Duomenys!$Y$5:$Y$18</v>
      </c>
    </row>
    <row r="86" spans="1:38" x14ac:dyDescent="0.3">
      <c r="A86" s="70" t="s">
        <v>252</v>
      </c>
      <c r="B86" s="71" t="s">
        <v>307</v>
      </c>
      <c r="C86" s="71" t="s">
        <v>308</v>
      </c>
      <c r="D86" s="71" t="s">
        <v>309</v>
      </c>
      <c r="E86" s="72">
        <v>0</v>
      </c>
      <c r="F86" s="73" t="s">
        <v>256</v>
      </c>
      <c r="G86" s="74"/>
      <c r="H86" s="75">
        <f t="shared" si="10"/>
        <v>2</v>
      </c>
      <c r="I86" s="16" t="str">
        <f t="shared" si="11"/>
        <v>Dainius BULOTA</v>
      </c>
      <c r="J86" s="76" t="str">
        <f t="shared" si="12"/>
        <v>B|LUCKY STRIKE|2</v>
      </c>
      <c r="K86" s="77" t="str">
        <f t="shared" si="13"/>
        <v/>
      </c>
      <c r="L86" s="78" t="str">
        <f t="shared" si="14"/>
        <v/>
      </c>
      <c r="M86" s="4"/>
      <c r="N86" s="79">
        <f>IF(OR($A86="",$B86=""),0,IF(COUNTIFS($A$5:$A86,$A86,$B$5:$B86,$B86)=1,1,0))</f>
        <v>1</v>
      </c>
      <c r="O86" s="79">
        <f t="shared" si="15"/>
        <v>5</v>
      </c>
      <c r="P86" s="79" t="str">
        <f t="shared" si="16"/>
        <v/>
      </c>
      <c r="AL86" s="89" t="str">
        <f t="shared" ca="1" si="17"/>
        <v>ADMIN_Duomenys!$Y$5:$Y$18</v>
      </c>
    </row>
    <row r="87" spans="1:38" x14ac:dyDescent="0.3">
      <c r="A87" s="70" t="s">
        <v>252</v>
      </c>
      <c r="B87" s="71" t="s">
        <v>307</v>
      </c>
      <c r="C87" s="71" t="s">
        <v>126</v>
      </c>
      <c r="D87" s="71" t="s">
        <v>312</v>
      </c>
      <c r="E87" s="72">
        <v>5</v>
      </c>
      <c r="F87" s="73" t="s">
        <v>256</v>
      </c>
      <c r="G87" s="74"/>
      <c r="H87" s="75">
        <f t="shared" si="10"/>
        <v>1</v>
      </c>
      <c r="I87" s="16" t="str">
        <f t="shared" si="11"/>
        <v>Audrius GRYBAUSKAS</v>
      </c>
      <c r="J87" s="76" t="str">
        <f t="shared" si="12"/>
        <v>B|LUCKY STRIKE|1</v>
      </c>
      <c r="K87" s="77" t="str">
        <f t="shared" si="13"/>
        <v/>
      </c>
      <c r="L87" s="78" t="str">
        <f t="shared" si="14"/>
        <v/>
      </c>
      <c r="M87" s="4"/>
      <c r="N87" s="79">
        <f>IF(OR($A87="",$B87=""),0,IF(COUNTIFS($A$5:$A87,$A87,$B$5:$B87,$B87)=1,1,0))</f>
        <v>0</v>
      </c>
      <c r="O87" s="79" t="str">
        <f t="shared" si="15"/>
        <v/>
      </c>
      <c r="P87" s="79" t="str">
        <f t="shared" si="16"/>
        <v/>
      </c>
      <c r="AL87" s="89" t="str">
        <f t="shared" ca="1" si="17"/>
        <v>ADMIN_Duomenys!$Y$5:$Y$18</v>
      </c>
    </row>
    <row r="88" spans="1:38" x14ac:dyDescent="0.3">
      <c r="A88" s="70" t="s">
        <v>252</v>
      </c>
      <c r="B88" s="71" t="s">
        <v>307</v>
      </c>
      <c r="C88" s="71" t="s">
        <v>310</v>
      </c>
      <c r="D88" s="71" t="s">
        <v>311</v>
      </c>
      <c r="E88" s="72">
        <v>8</v>
      </c>
      <c r="F88" s="73" t="s">
        <v>256</v>
      </c>
      <c r="G88" s="74"/>
      <c r="H88" s="75">
        <f t="shared" si="10"/>
        <v>4</v>
      </c>
      <c r="I88" s="16" t="str">
        <f t="shared" si="11"/>
        <v>Jolita GRIŠKEVIČIENĖ</v>
      </c>
      <c r="J88" s="76" t="str">
        <f t="shared" si="12"/>
        <v>B|LUCKY STRIKE|4</v>
      </c>
      <c r="K88" s="77" t="str">
        <f t="shared" si="13"/>
        <v/>
      </c>
      <c r="L88" s="78" t="str">
        <f t="shared" si="14"/>
        <v/>
      </c>
      <c r="M88" s="4"/>
      <c r="N88" s="79">
        <f>IF(OR($A88="",$B88=""),0,IF(COUNTIFS($A$5:$A88,$A88,$B$5:$B88,$B88)=1,1,0))</f>
        <v>0</v>
      </c>
      <c r="O88" s="79" t="str">
        <f t="shared" si="15"/>
        <v/>
      </c>
      <c r="P88" s="79" t="str">
        <f t="shared" si="16"/>
        <v/>
      </c>
      <c r="AL88" s="89" t="str">
        <f t="shared" ca="1" si="17"/>
        <v>ADMIN_Duomenys!$Y$5:$Y$18</v>
      </c>
    </row>
    <row r="89" spans="1:38" x14ac:dyDescent="0.3">
      <c r="A89" s="70" t="s">
        <v>252</v>
      </c>
      <c r="B89" s="71" t="s">
        <v>307</v>
      </c>
      <c r="C89" s="71" t="s">
        <v>313</v>
      </c>
      <c r="D89" s="71" t="s">
        <v>314</v>
      </c>
      <c r="E89" s="72">
        <v>0</v>
      </c>
      <c r="F89" s="73" t="s">
        <v>256</v>
      </c>
      <c r="G89" s="74"/>
      <c r="H89" s="75">
        <f t="shared" si="10"/>
        <v>3</v>
      </c>
      <c r="I89" s="16" t="str">
        <f t="shared" si="11"/>
        <v>Danielis MEIDUS</v>
      </c>
      <c r="J89" s="76" t="str">
        <f t="shared" si="12"/>
        <v>B|LUCKY STRIKE|3</v>
      </c>
      <c r="K89" s="77" t="str">
        <f t="shared" si="13"/>
        <v/>
      </c>
      <c r="L89" s="78" t="str">
        <f t="shared" si="14"/>
        <v/>
      </c>
      <c r="M89" s="4"/>
      <c r="N89" s="79">
        <f>IF(OR($A89="",$B89=""),0,IF(COUNTIFS($A$5:$A89,$A89,$B$5:$B89,$B89)=1,1,0))</f>
        <v>0</v>
      </c>
      <c r="O89" s="79" t="str">
        <f t="shared" si="15"/>
        <v/>
      </c>
      <c r="P89" s="79" t="str">
        <f t="shared" si="16"/>
        <v/>
      </c>
      <c r="AL89" s="89" t="str">
        <f t="shared" ca="1" si="17"/>
        <v>ADMIN_Duomenys!$Y$5:$Y$18</v>
      </c>
    </row>
    <row r="90" spans="1:38" x14ac:dyDescent="0.3">
      <c r="A90" s="70" t="s">
        <v>252</v>
      </c>
      <c r="B90" s="71" t="s">
        <v>307</v>
      </c>
      <c r="C90" s="71" t="s">
        <v>315</v>
      </c>
      <c r="D90" s="71" t="s">
        <v>316</v>
      </c>
      <c r="E90" s="72">
        <v>0</v>
      </c>
      <c r="F90" s="73" t="s">
        <v>256</v>
      </c>
      <c r="G90" s="74"/>
      <c r="H90" s="75">
        <f t="shared" si="10"/>
        <v>5</v>
      </c>
      <c r="I90" s="16" t="str">
        <f t="shared" si="11"/>
        <v>Norgedas NIKŠAS</v>
      </c>
      <c r="J90" s="76" t="str">
        <f t="shared" si="12"/>
        <v>B|LUCKY STRIKE|5</v>
      </c>
      <c r="K90" s="77" t="str">
        <f t="shared" si="13"/>
        <v/>
      </c>
      <c r="L90" s="78" t="str">
        <f t="shared" si="14"/>
        <v/>
      </c>
      <c r="M90" s="4"/>
      <c r="N90" s="79">
        <f>IF(OR($A90="",$B90=""),0,IF(COUNTIFS($A$5:$A90,$A90,$B$5:$B90,$B90)=1,1,0))</f>
        <v>0</v>
      </c>
      <c r="O90" s="79" t="str">
        <f t="shared" si="15"/>
        <v/>
      </c>
      <c r="P90" s="79" t="str">
        <f t="shared" si="16"/>
        <v/>
      </c>
      <c r="AL90" s="89" t="str">
        <f t="shared" ca="1" si="17"/>
        <v>ADMIN_Duomenys!$Y$5:$Y$18</v>
      </c>
    </row>
    <row r="91" spans="1:38" x14ac:dyDescent="0.3">
      <c r="A91" s="70" t="s">
        <v>252</v>
      </c>
      <c r="B91" s="71" t="s">
        <v>307</v>
      </c>
      <c r="C91" s="71" t="s">
        <v>317</v>
      </c>
      <c r="D91" s="71" t="s">
        <v>318</v>
      </c>
      <c r="E91" s="72">
        <v>10</v>
      </c>
      <c r="F91" s="73" t="s">
        <v>256</v>
      </c>
      <c r="G91" s="74"/>
      <c r="H91" s="75">
        <f t="shared" si="10"/>
        <v>6</v>
      </c>
      <c r="I91" s="16" t="str">
        <f t="shared" si="11"/>
        <v>Sergej ZUBRECOV</v>
      </c>
      <c r="J91" s="76" t="str">
        <f t="shared" si="12"/>
        <v>B|LUCKY STRIKE|6</v>
      </c>
      <c r="K91" s="77" t="str">
        <f t="shared" si="13"/>
        <v/>
      </c>
      <c r="L91" s="78" t="str">
        <f t="shared" si="14"/>
        <v/>
      </c>
      <c r="M91" s="4"/>
      <c r="N91" s="79">
        <f>IF(OR($A91="",$B91=""),0,IF(COUNTIFS($A$5:$A91,$A91,$B$5:$B91,$B91)=1,1,0))</f>
        <v>0</v>
      </c>
      <c r="O91" s="79" t="str">
        <f t="shared" si="15"/>
        <v/>
      </c>
      <c r="P91" s="79" t="str">
        <f t="shared" si="16"/>
        <v/>
      </c>
      <c r="AL91" s="89" t="str">
        <f t="shared" ca="1" si="17"/>
        <v>ADMIN_Duomenys!$Y$5:$Y$18</v>
      </c>
    </row>
    <row r="92" spans="1:38" x14ac:dyDescent="0.3">
      <c r="A92" s="70" t="s">
        <v>252</v>
      </c>
      <c r="B92" s="71" t="s">
        <v>319</v>
      </c>
      <c r="C92" s="71" t="s">
        <v>164</v>
      </c>
      <c r="D92" s="71" t="s">
        <v>320</v>
      </c>
      <c r="E92" s="72">
        <v>0</v>
      </c>
      <c r="F92" s="73" t="s">
        <v>256</v>
      </c>
      <c r="G92" s="74"/>
      <c r="H92" s="75">
        <f t="shared" si="10"/>
        <v>7</v>
      </c>
      <c r="I92" s="16" t="str">
        <f t="shared" si="11"/>
        <v>Žilvinas ČENKUS</v>
      </c>
      <c r="J92" s="76" t="str">
        <f t="shared" si="12"/>
        <v>B|ONIKSAS|7</v>
      </c>
      <c r="K92" s="77" t="str">
        <f t="shared" si="13"/>
        <v/>
      </c>
      <c r="L92" s="78" t="str">
        <f t="shared" si="14"/>
        <v/>
      </c>
      <c r="M92" s="4"/>
      <c r="N92" s="79">
        <f>IF(OR($A92="",$B92=""),0,IF(COUNTIFS($A$5:$A92,$A92,$B$5:$B92,$B92)=1,1,0))</f>
        <v>1</v>
      </c>
      <c r="O92" s="79">
        <f t="shared" si="15"/>
        <v>6</v>
      </c>
      <c r="P92" s="79" t="str">
        <f t="shared" si="16"/>
        <v/>
      </c>
      <c r="AL92" s="89" t="str">
        <f t="shared" ca="1" si="17"/>
        <v>ADMIN_Duomenys!$Y$5:$Y$18</v>
      </c>
    </row>
    <row r="93" spans="1:38" x14ac:dyDescent="0.3">
      <c r="A93" s="70" t="s">
        <v>252</v>
      </c>
      <c r="B93" s="71" t="s">
        <v>319</v>
      </c>
      <c r="C93" s="71" t="s">
        <v>321</v>
      </c>
      <c r="D93" s="71" t="s">
        <v>322</v>
      </c>
      <c r="E93" s="72">
        <v>5</v>
      </c>
      <c r="F93" s="73" t="s">
        <v>256</v>
      </c>
      <c r="G93" s="74"/>
      <c r="H93" s="75">
        <f t="shared" si="10"/>
        <v>1</v>
      </c>
      <c r="I93" s="16" t="str">
        <f t="shared" si="11"/>
        <v>Albinas DAMBRAUSKAS</v>
      </c>
      <c r="J93" s="76" t="str">
        <f t="shared" si="12"/>
        <v>B|ONIKSAS|1</v>
      </c>
      <c r="K93" s="77" t="str">
        <f t="shared" si="13"/>
        <v/>
      </c>
      <c r="L93" s="78" t="str">
        <f t="shared" si="14"/>
        <v/>
      </c>
      <c r="M93" s="4"/>
      <c r="N93" s="79">
        <f>IF(OR($A93="",$B93=""),0,IF(COUNTIFS($A$5:$A93,$A93,$B$5:$B93,$B93)=1,1,0))</f>
        <v>0</v>
      </c>
      <c r="O93" s="79" t="str">
        <f t="shared" si="15"/>
        <v/>
      </c>
      <c r="P93" s="79" t="str">
        <f t="shared" si="16"/>
        <v/>
      </c>
      <c r="AL93" s="89" t="str">
        <f t="shared" ca="1" si="17"/>
        <v>ADMIN_Duomenys!$Y$5:$Y$18</v>
      </c>
    </row>
    <row r="94" spans="1:38" x14ac:dyDescent="0.3">
      <c r="A94" s="70" t="s">
        <v>252</v>
      </c>
      <c r="B94" s="71" t="s">
        <v>319</v>
      </c>
      <c r="C94" s="71" t="s">
        <v>323</v>
      </c>
      <c r="D94" s="71" t="s">
        <v>324</v>
      </c>
      <c r="E94" s="72">
        <v>13</v>
      </c>
      <c r="F94" s="73" t="s">
        <v>256</v>
      </c>
      <c r="G94" s="74"/>
      <c r="H94" s="75">
        <f t="shared" si="10"/>
        <v>4</v>
      </c>
      <c r="I94" s="16" t="str">
        <f t="shared" si="11"/>
        <v>Asta DAMBRAUSKIENĖ</v>
      </c>
      <c r="J94" s="76" t="str">
        <f t="shared" si="12"/>
        <v>B|ONIKSAS|4</v>
      </c>
      <c r="K94" s="77" t="str">
        <f t="shared" si="13"/>
        <v/>
      </c>
      <c r="L94" s="78" t="str">
        <f t="shared" si="14"/>
        <v/>
      </c>
      <c r="M94" s="4"/>
      <c r="N94" s="79">
        <f>IF(OR($A94="",$B94=""),0,IF(COUNTIFS($A$5:$A94,$A94,$B$5:$B94,$B94)=1,1,0))</f>
        <v>0</v>
      </c>
      <c r="O94" s="79" t="str">
        <f t="shared" si="15"/>
        <v/>
      </c>
      <c r="P94" s="79" t="str">
        <f t="shared" si="16"/>
        <v/>
      </c>
      <c r="AL94" s="89" t="str">
        <f t="shared" ca="1" si="17"/>
        <v>ADMIN_Duomenys!$Y$5:$Y$18</v>
      </c>
    </row>
    <row r="95" spans="1:38" x14ac:dyDescent="0.3">
      <c r="A95" s="70" t="s">
        <v>252</v>
      </c>
      <c r="B95" s="71" t="s">
        <v>319</v>
      </c>
      <c r="C95" s="71" t="s">
        <v>325</v>
      </c>
      <c r="D95" s="71" t="s">
        <v>326</v>
      </c>
      <c r="E95" s="72">
        <v>13</v>
      </c>
      <c r="F95" s="73" t="s">
        <v>256</v>
      </c>
      <c r="G95" s="74"/>
      <c r="H95" s="75">
        <f t="shared" si="10"/>
        <v>6</v>
      </c>
      <c r="I95" s="16" t="str">
        <f t="shared" si="11"/>
        <v>Violeta MUSTEIKIENĖ</v>
      </c>
      <c r="J95" s="76" t="str">
        <f t="shared" si="12"/>
        <v>B|ONIKSAS|6</v>
      </c>
      <c r="K95" s="77" t="str">
        <f t="shared" si="13"/>
        <v/>
      </c>
      <c r="L95" s="78" t="str">
        <f t="shared" si="14"/>
        <v/>
      </c>
      <c r="M95" s="4"/>
      <c r="N95" s="79">
        <f>IF(OR($A95="",$B95=""),0,IF(COUNTIFS($A$5:$A95,$A95,$B$5:$B95,$B95)=1,1,0))</f>
        <v>0</v>
      </c>
      <c r="O95" s="79" t="str">
        <f t="shared" si="15"/>
        <v/>
      </c>
      <c r="P95" s="79" t="str">
        <f t="shared" si="16"/>
        <v/>
      </c>
      <c r="AL95" s="89" t="str">
        <f t="shared" ca="1" si="17"/>
        <v>ADMIN_Duomenys!$Y$5:$Y$18</v>
      </c>
    </row>
    <row r="96" spans="1:38" x14ac:dyDescent="0.3">
      <c r="A96" s="70" t="s">
        <v>252</v>
      </c>
      <c r="B96" s="71" t="s">
        <v>319</v>
      </c>
      <c r="C96" s="71" t="s">
        <v>327</v>
      </c>
      <c r="D96" s="71" t="s">
        <v>328</v>
      </c>
      <c r="E96" s="72">
        <v>10</v>
      </c>
      <c r="F96" s="73" t="s">
        <v>256</v>
      </c>
      <c r="G96" s="74"/>
      <c r="H96" s="75">
        <f t="shared" si="10"/>
        <v>3</v>
      </c>
      <c r="I96" s="16" t="str">
        <f t="shared" si="11"/>
        <v>Arvydas MUSTEIKIS</v>
      </c>
      <c r="J96" s="76" t="str">
        <f t="shared" si="12"/>
        <v>B|ONIKSAS|3</v>
      </c>
      <c r="K96" s="77" t="str">
        <f t="shared" si="13"/>
        <v/>
      </c>
      <c r="L96" s="78" t="str">
        <f t="shared" si="14"/>
        <v/>
      </c>
      <c r="M96" s="4"/>
      <c r="N96" s="79">
        <f>IF(OR($A96="",$B96=""),0,IF(COUNTIFS($A$5:$A96,$A96,$B$5:$B96,$B96)=1,1,0))</f>
        <v>0</v>
      </c>
      <c r="O96" s="79" t="str">
        <f t="shared" si="15"/>
        <v/>
      </c>
      <c r="P96" s="79" t="str">
        <f t="shared" si="16"/>
        <v/>
      </c>
      <c r="AL96" s="89" t="str">
        <f t="shared" ca="1" si="17"/>
        <v>ADMIN_Duomenys!$Y$5:$Y$18</v>
      </c>
    </row>
    <row r="97" spans="1:38" x14ac:dyDescent="0.3">
      <c r="A97" s="70" t="s">
        <v>252</v>
      </c>
      <c r="B97" s="71" t="s">
        <v>319</v>
      </c>
      <c r="C97" s="71" t="s">
        <v>161</v>
      </c>
      <c r="D97" s="71" t="s">
        <v>329</v>
      </c>
      <c r="E97" s="72">
        <v>0</v>
      </c>
      <c r="F97" s="73" t="s">
        <v>256</v>
      </c>
      <c r="G97" s="74"/>
      <c r="H97" s="75">
        <f t="shared" si="10"/>
        <v>2</v>
      </c>
      <c r="I97" s="16" t="str">
        <f t="shared" si="11"/>
        <v>Andrius NAVICKAS</v>
      </c>
      <c r="J97" s="76" t="str">
        <f t="shared" si="12"/>
        <v>B|ONIKSAS|2</v>
      </c>
      <c r="K97" s="77" t="str">
        <f t="shared" si="13"/>
        <v/>
      </c>
      <c r="L97" s="78" t="str">
        <f t="shared" si="14"/>
        <v/>
      </c>
      <c r="M97" s="4"/>
      <c r="N97" s="79">
        <f>IF(OR($A97="",$B97=""),0,IF(COUNTIFS($A$5:$A97,$A97,$B$5:$B97,$B97)=1,1,0))</f>
        <v>0</v>
      </c>
      <c r="O97" s="79" t="str">
        <f t="shared" si="15"/>
        <v/>
      </c>
      <c r="P97" s="79" t="str">
        <f t="shared" si="16"/>
        <v/>
      </c>
      <c r="AL97" s="89" t="str">
        <f t="shared" ca="1" si="17"/>
        <v>ADMIN_Duomenys!$Y$5:$Y$18</v>
      </c>
    </row>
    <row r="98" spans="1:38" x14ac:dyDescent="0.3">
      <c r="A98" s="70" t="s">
        <v>252</v>
      </c>
      <c r="B98" s="71" t="s">
        <v>319</v>
      </c>
      <c r="C98" s="71" t="s">
        <v>330</v>
      </c>
      <c r="D98" s="71" t="s">
        <v>331</v>
      </c>
      <c r="E98" s="72">
        <v>11</v>
      </c>
      <c r="F98" s="73" t="s">
        <v>256</v>
      </c>
      <c r="G98" s="74"/>
      <c r="H98" s="75">
        <f t="shared" si="10"/>
        <v>5</v>
      </c>
      <c r="I98" s="16" t="str">
        <f t="shared" si="11"/>
        <v>Silvinas SAKALAUSKAS</v>
      </c>
      <c r="J98" s="76" t="str">
        <f t="shared" si="12"/>
        <v>B|ONIKSAS|5</v>
      </c>
      <c r="K98" s="77" t="str">
        <f t="shared" si="13"/>
        <v/>
      </c>
      <c r="L98" s="78" t="str">
        <f t="shared" si="14"/>
        <v/>
      </c>
      <c r="M98" s="4"/>
      <c r="N98" s="79">
        <f>IF(OR($A98="",$B98=""),0,IF(COUNTIFS($A$5:$A98,$A98,$B$5:$B98,$B98)=1,1,0))</f>
        <v>0</v>
      </c>
      <c r="O98" s="79" t="str">
        <f t="shared" si="15"/>
        <v/>
      </c>
      <c r="P98" s="79" t="str">
        <f t="shared" si="16"/>
        <v/>
      </c>
      <c r="AL98" s="89" t="str">
        <f t="shared" ca="1" si="17"/>
        <v>ADMIN_Duomenys!$Y$5:$Y$18</v>
      </c>
    </row>
    <row r="99" spans="1:38" x14ac:dyDescent="0.3">
      <c r="A99" s="70" t="s">
        <v>252</v>
      </c>
      <c r="B99" s="71" t="s">
        <v>332</v>
      </c>
      <c r="C99" s="71" t="s">
        <v>161</v>
      </c>
      <c r="D99" s="71" t="s">
        <v>333</v>
      </c>
      <c r="E99" s="72">
        <v>0</v>
      </c>
      <c r="F99" s="73" t="s">
        <v>268</v>
      </c>
      <c r="G99" s="74"/>
      <c r="H99" s="75">
        <f t="shared" si="10"/>
        <v>1</v>
      </c>
      <c r="I99" s="16" t="str">
        <f t="shared" si="11"/>
        <v>Andrius ANDRUŠKA</v>
      </c>
      <c r="J99" s="76" t="str">
        <f t="shared" si="12"/>
        <v>B|SENI ŠERNAI|1</v>
      </c>
      <c r="K99" s="77" t="str">
        <f t="shared" si="13"/>
        <v/>
      </c>
      <c r="L99" s="78" t="str">
        <f t="shared" si="14"/>
        <v/>
      </c>
      <c r="M99" s="4"/>
      <c r="N99" s="79">
        <f>IF(OR($A99="",$B99=""),0,IF(COUNTIFS($A$5:$A99,$A99,$B$5:$B99,$B99)=1,1,0))</f>
        <v>1</v>
      </c>
      <c r="O99" s="79">
        <f t="shared" si="15"/>
        <v>7</v>
      </c>
      <c r="P99" s="79" t="str">
        <f t="shared" si="16"/>
        <v/>
      </c>
      <c r="AL99" s="89" t="str">
        <f t="shared" ca="1" si="17"/>
        <v>ADMIN_Duomenys!$Y$5:$Y$18</v>
      </c>
    </row>
    <row r="100" spans="1:38" x14ac:dyDescent="0.3">
      <c r="A100" s="70" t="s">
        <v>252</v>
      </c>
      <c r="B100" s="71" t="s">
        <v>332</v>
      </c>
      <c r="C100" s="71" t="s">
        <v>336</v>
      </c>
      <c r="D100" s="71" t="s">
        <v>337</v>
      </c>
      <c r="E100" s="72">
        <v>8</v>
      </c>
      <c r="F100" s="73" t="s">
        <v>268</v>
      </c>
      <c r="G100" s="74"/>
      <c r="H100" s="75">
        <f t="shared" si="10"/>
        <v>4</v>
      </c>
      <c r="I100" s="16" t="str">
        <f t="shared" si="11"/>
        <v>Leta ANUŽIENĖ</v>
      </c>
      <c r="J100" s="76" t="str">
        <f t="shared" si="12"/>
        <v>B|SENI ŠERNAI|4</v>
      </c>
      <c r="K100" s="77" t="str">
        <f t="shared" si="13"/>
        <v/>
      </c>
      <c r="L100" s="78" t="str">
        <f t="shared" si="14"/>
        <v/>
      </c>
      <c r="M100" s="4"/>
      <c r="N100" s="79">
        <f>IF(OR($A100="",$B100=""),0,IF(COUNTIFS($A$5:$A100,$A100,$B$5:$B100,$B100)=1,1,0))</f>
        <v>0</v>
      </c>
      <c r="O100" s="79" t="str">
        <f t="shared" si="15"/>
        <v/>
      </c>
      <c r="P100" s="79" t="str">
        <f t="shared" si="16"/>
        <v/>
      </c>
      <c r="AL100" s="89" t="str">
        <f t="shared" ca="1" si="17"/>
        <v>ADMIN_Duomenys!$Y$5:$Y$18</v>
      </c>
    </row>
    <row r="101" spans="1:38" x14ac:dyDescent="0.3">
      <c r="A101" s="70" t="s">
        <v>252</v>
      </c>
      <c r="B101" s="71" t="s">
        <v>332</v>
      </c>
      <c r="C101" s="71" t="s">
        <v>301</v>
      </c>
      <c r="D101" s="71" t="s">
        <v>338</v>
      </c>
      <c r="E101" s="72">
        <v>0</v>
      </c>
      <c r="F101" s="73" t="s">
        <v>268</v>
      </c>
      <c r="G101" s="74"/>
      <c r="H101" s="75">
        <f t="shared" si="10"/>
        <v>5</v>
      </c>
      <c r="I101" s="16" t="str">
        <f t="shared" si="11"/>
        <v>Vaidas MITKEVIČIUS</v>
      </c>
      <c r="J101" s="76" t="str">
        <f t="shared" si="12"/>
        <v>B|SENI ŠERNAI|5</v>
      </c>
      <c r="K101" s="77" t="str">
        <f t="shared" si="13"/>
        <v/>
      </c>
      <c r="L101" s="78" t="str">
        <f t="shared" si="14"/>
        <v/>
      </c>
      <c r="M101" s="4"/>
      <c r="N101" s="79">
        <f>IF(OR($A101="",$B101=""),0,IF(COUNTIFS($A$5:$A101,$A101,$B$5:$B101,$B101)=1,1,0))</f>
        <v>0</v>
      </c>
      <c r="O101" s="79" t="str">
        <f t="shared" si="15"/>
        <v/>
      </c>
      <c r="P101" s="79" t="str">
        <f t="shared" si="16"/>
        <v/>
      </c>
      <c r="AL101" s="89" t="str">
        <f t="shared" ca="1" si="17"/>
        <v>ADMIN_Duomenys!$Y$5:$Y$18</v>
      </c>
    </row>
    <row r="102" spans="1:38" x14ac:dyDescent="0.3">
      <c r="A102" s="70" t="s">
        <v>252</v>
      </c>
      <c r="B102" s="71" t="s">
        <v>332</v>
      </c>
      <c r="C102" s="71" t="s">
        <v>167</v>
      </c>
      <c r="D102" s="71" t="s">
        <v>335</v>
      </c>
      <c r="E102" s="72">
        <v>13</v>
      </c>
      <c r="F102" s="73" t="s">
        <v>268</v>
      </c>
      <c r="G102" s="74"/>
      <c r="H102" s="75">
        <f t="shared" si="10"/>
        <v>3</v>
      </c>
      <c r="I102" s="16" t="str">
        <f t="shared" si="11"/>
        <v>Daiva SELENIENĖ</v>
      </c>
      <c r="J102" s="76" t="str">
        <f t="shared" si="12"/>
        <v>B|SENI ŠERNAI|3</v>
      </c>
      <c r="K102" s="77" t="str">
        <f t="shared" si="13"/>
        <v/>
      </c>
      <c r="L102" s="78" t="str">
        <f t="shared" si="14"/>
        <v/>
      </c>
      <c r="M102" s="4"/>
      <c r="N102" s="79">
        <f>IF(OR($A102="",$B102=""),0,IF(COUNTIFS($A$5:$A102,$A102,$B$5:$B102,$B102)=1,1,0))</f>
        <v>0</v>
      </c>
      <c r="O102" s="79" t="str">
        <f t="shared" si="15"/>
        <v/>
      </c>
      <c r="P102" s="79" t="str">
        <f t="shared" si="16"/>
        <v/>
      </c>
      <c r="AL102" s="89" t="str">
        <f t="shared" ca="1" si="17"/>
        <v>ADMIN_Duomenys!$Y$5:$Y$18</v>
      </c>
    </row>
    <row r="103" spans="1:38" x14ac:dyDescent="0.3">
      <c r="A103" s="70" t="s">
        <v>252</v>
      </c>
      <c r="B103" s="71" t="s">
        <v>332</v>
      </c>
      <c r="C103" s="71" t="s">
        <v>144</v>
      </c>
      <c r="D103" s="71" t="s">
        <v>334</v>
      </c>
      <c r="E103" s="72">
        <v>5</v>
      </c>
      <c r="F103" s="73" t="s">
        <v>268</v>
      </c>
      <c r="G103" s="74"/>
      <c r="H103" s="75">
        <f t="shared" si="10"/>
        <v>2</v>
      </c>
      <c r="I103" s="16" t="str">
        <f t="shared" si="11"/>
        <v>Artūras SELENIS</v>
      </c>
      <c r="J103" s="76" t="str">
        <f t="shared" si="12"/>
        <v>B|SENI ŠERNAI|2</v>
      </c>
      <c r="K103" s="77" t="str">
        <f t="shared" si="13"/>
        <v/>
      </c>
      <c r="L103" s="78" t="str">
        <f t="shared" si="14"/>
        <v/>
      </c>
      <c r="M103" s="4"/>
      <c r="N103" s="79">
        <f>IF(OR($A103="",$B103=""),0,IF(COUNTIFS($A$5:$A103,$A103,$B$5:$B103,$B103)=1,1,0))</f>
        <v>0</v>
      </c>
      <c r="O103" s="79" t="str">
        <f t="shared" si="15"/>
        <v/>
      </c>
      <c r="P103" s="79" t="str">
        <f t="shared" si="16"/>
        <v/>
      </c>
      <c r="AL103" s="89" t="str">
        <f t="shared" ca="1" si="17"/>
        <v>ADMIN_Duomenys!$Y$5:$Y$18</v>
      </c>
    </row>
    <row r="104" spans="1:38" x14ac:dyDescent="0.3">
      <c r="A104" s="70" t="s">
        <v>252</v>
      </c>
      <c r="B104" s="71" t="s">
        <v>332</v>
      </c>
      <c r="C104" s="71" t="s">
        <v>339</v>
      </c>
      <c r="D104" s="71" t="s">
        <v>340</v>
      </c>
      <c r="E104" s="72">
        <v>0</v>
      </c>
      <c r="F104" s="73" t="s">
        <v>268</v>
      </c>
      <c r="G104" s="74"/>
      <c r="H104" s="75">
        <f t="shared" si="10"/>
        <v>6</v>
      </c>
      <c r="I104" s="16" t="str">
        <f t="shared" si="11"/>
        <v>Vilius SUKONAS</v>
      </c>
      <c r="J104" s="76" t="str">
        <f t="shared" si="12"/>
        <v>B|SENI ŠERNAI|6</v>
      </c>
      <c r="K104" s="77" t="str">
        <f t="shared" si="13"/>
        <v/>
      </c>
      <c r="L104" s="78" t="str">
        <f t="shared" si="14"/>
        <v/>
      </c>
      <c r="M104" s="4"/>
      <c r="N104" s="79">
        <f>IF(OR($A104="",$B104=""),0,IF(COUNTIFS($A$5:$A104,$A104,$B$5:$B104,$B104)=1,1,0))</f>
        <v>0</v>
      </c>
      <c r="O104" s="79" t="str">
        <f t="shared" si="15"/>
        <v/>
      </c>
      <c r="P104" s="79" t="str">
        <f t="shared" si="16"/>
        <v/>
      </c>
      <c r="AL104" s="89" t="str">
        <f t="shared" ca="1" si="17"/>
        <v>ADMIN_Duomenys!$Y$5:$Y$18</v>
      </c>
    </row>
    <row r="105" spans="1:38" x14ac:dyDescent="0.3">
      <c r="A105" s="70" t="s">
        <v>252</v>
      </c>
      <c r="B105" s="71" t="s">
        <v>341</v>
      </c>
      <c r="C105" s="71" t="s">
        <v>342</v>
      </c>
      <c r="D105" s="71" t="s">
        <v>343</v>
      </c>
      <c r="E105" s="72">
        <v>0</v>
      </c>
      <c r="F105" s="73" t="s">
        <v>268</v>
      </c>
      <c r="G105" s="74"/>
      <c r="H105" s="75">
        <f t="shared" si="10"/>
        <v>1</v>
      </c>
      <c r="I105" s="16" t="str">
        <f t="shared" si="11"/>
        <v>Arminas AUGONIS</v>
      </c>
      <c r="J105" s="76" t="str">
        <f t="shared" si="12"/>
        <v>B|SOUNDSGOOD LT|1</v>
      </c>
      <c r="K105" s="77" t="str">
        <f t="shared" si="13"/>
        <v/>
      </c>
      <c r="L105" s="78" t="str">
        <f t="shared" si="14"/>
        <v/>
      </c>
      <c r="M105" s="4"/>
      <c r="N105" s="79">
        <f>IF(OR($A105="",$B105=""),0,IF(COUNTIFS($A$5:$A105,$A105,$B$5:$B105,$B105)=1,1,0))</f>
        <v>1</v>
      </c>
      <c r="O105" s="79">
        <f t="shared" si="15"/>
        <v>8</v>
      </c>
      <c r="P105" s="79" t="str">
        <f t="shared" si="16"/>
        <v/>
      </c>
      <c r="AL105" s="89" t="str">
        <f t="shared" ca="1" si="17"/>
        <v>ADMIN_Duomenys!$Y$5:$Y$18</v>
      </c>
    </row>
    <row r="106" spans="1:38" x14ac:dyDescent="0.3">
      <c r="A106" s="70" t="s">
        <v>252</v>
      </c>
      <c r="B106" s="71" t="s">
        <v>341</v>
      </c>
      <c r="C106" s="71" t="s">
        <v>344</v>
      </c>
      <c r="D106" s="71" t="s">
        <v>345</v>
      </c>
      <c r="E106" s="72">
        <v>0</v>
      </c>
      <c r="F106" s="73" t="s">
        <v>268</v>
      </c>
      <c r="G106" s="74"/>
      <c r="H106" s="75">
        <f t="shared" si="10"/>
        <v>6</v>
      </c>
      <c r="I106" s="16" t="str">
        <f t="shared" si="11"/>
        <v>Nedas GRINKEVIČIUS</v>
      </c>
      <c r="J106" s="76" t="str">
        <f t="shared" si="12"/>
        <v>B|SOUNDSGOOD LT|6</v>
      </c>
      <c r="K106" s="77" t="str">
        <f t="shared" si="13"/>
        <v/>
      </c>
      <c r="L106" s="78" t="str">
        <f t="shared" si="14"/>
        <v/>
      </c>
      <c r="M106" s="4"/>
      <c r="N106" s="79">
        <f>IF(OR($A106="",$B106=""),0,IF(COUNTIFS($A$5:$A106,$A106,$B$5:$B106,$B106)=1,1,0))</f>
        <v>0</v>
      </c>
      <c r="O106" s="79" t="str">
        <f t="shared" si="15"/>
        <v/>
      </c>
      <c r="P106" s="79" t="str">
        <f t="shared" si="16"/>
        <v/>
      </c>
      <c r="AL106" s="89" t="str">
        <f t="shared" ca="1" si="17"/>
        <v>ADMIN_Duomenys!$Y$5:$Y$18</v>
      </c>
    </row>
    <row r="107" spans="1:38" x14ac:dyDescent="0.3">
      <c r="A107" s="70" t="s">
        <v>252</v>
      </c>
      <c r="B107" s="71" t="s">
        <v>341</v>
      </c>
      <c r="C107" s="71" t="s">
        <v>227</v>
      </c>
      <c r="D107" s="71" t="s">
        <v>346</v>
      </c>
      <c r="E107" s="72">
        <v>0</v>
      </c>
      <c r="F107" s="73" t="s">
        <v>268</v>
      </c>
      <c r="G107" s="74"/>
      <c r="H107" s="75">
        <f t="shared" si="10"/>
        <v>3</v>
      </c>
      <c r="I107" s="16" t="str">
        <f t="shared" si="11"/>
        <v>Karolis KARECKAS</v>
      </c>
      <c r="J107" s="76" t="str">
        <f t="shared" si="12"/>
        <v>B|SOUNDSGOOD LT|3</v>
      </c>
      <c r="K107" s="77" t="str">
        <f t="shared" si="13"/>
        <v/>
      </c>
      <c r="L107" s="78" t="str">
        <f t="shared" si="14"/>
        <v/>
      </c>
      <c r="M107" s="4"/>
      <c r="N107" s="79">
        <f>IF(OR($A107="",$B107=""),0,IF(COUNTIFS($A$5:$A107,$A107,$B$5:$B107,$B107)=1,1,0))</f>
        <v>0</v>
      </c>
      <c r="O107" s="79" t="str">
        <f t="shared" si="15"/>
        <v/>
      </c>
      <c r="P107" s="79" t="str">
        <f t="shared" si="16"/>
        <v/>
      </c>
      <c r="AL107" s="89" t="str">
        <f t="shared" ca="1" si="17"/>
        <v>ADMIN_Duomenys!$Y$5:$Y$18</v>
      </c>
    </row>
    <row r="108" spans="1:38" x14ac:dyDescent="0.3">
      <c r="A108" s="70" t="s">
        <v>252</v>
      </c>
      <c r="B108" s="71" t="s">
        <v>341</v>
      </c>
      <c r="C108" s="71" t="s">
        <v>347</v>
      </c>
      <c r="D108" s="71" t="s">
        <v>348</v>
      </c>
      <c r="E108" s="72">
        <v>0</v>
      </c>
      <c r="F108" s="73" t="s">
        <v>268</v>
      </c>
      <c r="G108" s="74"/>
      <c r="H108" s="75">
        <f t="shared" si="10"/>
        <v>2</v>
      </c>
      <c r="I108" s="16" t="str">
        <f t="shared" si="11"/>
        <v>Faustas MARKŪNAS</v>
      </c>
      <c r="J108" s="76" t="str">
        <f t="shared" si="12"/>
        <v>B|SOUNDSGOOD LT|2</v>
      </c>
      <c r="K108" s="77" t="str">
        <f t="shared" si="13"/>
        <v/>
      </c>
      <c r="L108" s="78" t="str">
        <f t="shared" si="14"/>
        <v/>
      </c>
      <c r="M108" s="4"/>
      <c r="N108" s="79">
        <f>IF(OR($A108="",$B108=""),0,IF(COUNTIFS($A$5:$A108,$A108,$B$5:$B108,$B108)=1,1,0))</f>
        <v>0</v>
      </c>
      <c r="O108" s="79" t="str">
        <f t="shared" si="15"/>
        <v/>
      </c>
      <c r="P108" s="79" t="str">
        <f t="shared" si="16"/>
        <v/>
      </c>
      <c r="AL108" s="89" t="str">
        <f t="shared" ca="1" si="17"/>
        <v>ADMIN_Duomenys!$Y$5:$Y$18</v>
      </c>
    </row>
    <row r="109" spans="1:38" x14ac:dyDescent="0.3">
      <c r="A109" s="70" t="s">
        <v>252</v>
      </c>
      <c r="B109" s="71" t="s">
        <v>341</v>
      </c>
      <c r="C109" s="71" t="s">
        <v>349</v>
      </c>
      <c r="D109" s="71" t="s">
        <v>350</v>
      </c>
      <c r="E109" s="72">
        <v>0</v>
      </c>
      <c r="F109" s="73" t="s">
        <v>268</v>
      </c>
      <c r="G109" s="74"/>
      <c r="H109" s="75">
        <f t="shared" si="10"/>
        <v>4</v>
      </c>
      <c r="I109" s="16" t="str">
        <f t="shared" si="11"/>
        <v>Martynas MEKIONIS</v>
      </c>
      <c r="J109" s="76" t="str">
        <f t="shared" si="12"/>
        <v>B|SOUNDSGOOD LT|4</v>
      </c>
      <c r="K109" s="77" t="str">
        <f t="shared" si="13"/>
        <v/>
      </c>
      <c r="L109" s="78" t="str">
        <f t="shared" si="14"/>
        <v/>
      </c>
      <c r="M109" s="4"/>
      <c r="N109" s="79">
        <f>IF(OR($A109="",$B109=""),0,IF(COUNTIFS($A$5:$A109,$A109,$B$5:$B109,$B109)=1,1,0))</f>
        <v>0</v>
      </c>
      <c r="O109" s="79" t="str">
        <f t="shared" si="15"/>
        <v/>
      </c>
      <c r="P109" s="79" t="str">
        <f t="shared" si="16"/>
        <v/>
      </c>
      <c r="AL109" s="89" t="str">
        <f t="shared" ca="1" si="17"/>
        <v>ADMIN_Duomenys!$Y$5:$Y$18</v>
      </c>
    </row>
    <row r="110" spans="1:38" x14ac:dyDescent="0.3">
      <c r="A110" s="70" t="s">
        <v>252</v>
      </c>
      <c r="B110" s="71" t="s">
        <v>341</v>
      </c>
      <c r="C110" s="71" t="s">
        <v>351</v>
      </c>
      <c r="D110" s="71" t="s">
        <v>352</v>
      </c>
      <c r="E110" s="72">
        <v>0</v>
      </c>
      <c r="F110" s="73" t="s">
        <v>268</v>
      </c>
      <c r="G110" s="74"/>
      <c r="H110" s="75">
        <f t="shared" si="10"/>
        <v>5</v>
      </c>
      <c r="I110" s="16" t="str">
        <f t="shared" si="11"/>
        <v>Mindaugas ŠLEGERIS</v>
      </c>
      <c r="J110" s="76" t="str">
        <f t="shared" si="12"/>
        <v>B|SOUNDSGOOD LT|5</v>
      </c>
      <c r="K110" s="77" t="str">
        <f t="shared" si="13"/>
        <v/>
      </c>
      <c r="L110" s="78" t="str">
        <f t="shared" si="14"/>
        <v/>
      </c>
      <c r="M110" s="4"/>
      <c r="N110" s="79">
        <f>IF(OR($A110="",$B110=""),0,IF(COUNTIFS($A$5:$A110,$A110,$B$5:$B110,$B110)=1,1,0))</f>
        <v>0</v>
      </c>
      <c r="O110" s="79" t="str">
        <f t="shared" si="15"/>
        <v/>
      </c>
      <c r="P110" s="79" t="str">
        <f t="shared" si="16"/>
        <v/>
      </c>
      <c r="AL110" s="89" t="str">
        <f t="shared" ca="1" si="17"/>
        <v>ADMIN_Duomenys!$Y$5:$Y$18</v>
      </c>
    </row>
    <row r="111" spans="1:38" x14ac:dyDescent="0.3">
      <c r="A111" s="70" t="s">
        <v>252</v>
      </c>
      <c r="B111" s="71" t="s">
        <v>353</v>
      </c>
      <c r="C111" s="71" t="s">
        <v>354</v>
      </c>
      <c r="D111" s="71" t="s">
        <v>355</v>
      </c>
      <c r="E111" s="72">
        <v>5</v>
      </c>
      <c r="F111" s="73" t="s">
        <v>256</v>
      </c>
      <c r="G111" s="74"/>
      <c r="H111" s="75">
        <f t="shared" si="10"/>
        <v>5</v>
      </c>
      <c r="I111" s="16" t="str">
        <f t="shared" si="11"/>
        <v>Petras DERŠONAS</v>
      </c>
      <c r="J111" s="76" t="str">
        <f t="shared" si="12"/>
        <v>B|SPA VILNIUS 2|5</v>
      </c>
      <c r="K111" s="77" t="str">
        <f t="shared" si="13"/>
        <v/>
      </c>
      <c r="L111" s="78" t="str">
        <f t="shared" si="14"/>
        <v/>
      </c>
      <c r="M111" s="4"/>
      <c r="N111" s="79">
        <f>IF(OR($A111="",$B111=""),0,IF(COUNTIFS($A$5:$A111,$A111,$B$5:$B111,$B111)=1,1,0))</f>
        <v>1</v>
      </c>
      <c r="O111" s="79">
        <f t="shared" si="15"/>
        <v>9</v>
      </c>
      <c r="P111" s="79" t="str">
        <f t="shared" si="16"/>
        <v/>
      </c>
      <c r="AL111" s="89" t="str">
        <f t="shared" ca="1" si="17"/>
        <v>ADMIN_Duomenys!$Y$5:$Y$18</v>
      </c>
    </row>
    <row r="112" spans="1:38" x14ac:dyDescent="0.3">
      <c r="A112" s="70" t="s">
        <v>252</v>
      </c>
      <c r="B112" s="71" t="s">
        <v>353</v>
      </c>
      <c r="C112" s="71" t="s">
        <v>356</v>
      </c>
      <c r="D112" s="71" t="s">
        <v>357</v>
      </c>
      <c r="E112" s="72">
        <v>0</v>
      </c>
      <c r="F112" s="73" t="s">
        <v>256</v>
      </c>
      <c r="G112" s="74"/>
      <c r="H112" s="75">
        <f t="shared" si="10"/>
        <v>3</v>
      </c>
      <c r="I112" s="16" t="str">
        <f t="shared" si="11"/>
        <v>Gintaras JANČAUSKAS</v>
      </c>
      <c r="J112" s="76" t="str">
        <f t="shared" si="12"/>
        <v>B|SPA VILNIUS 2|3</v>
      </c>
      <c r="K112" s="77" t="str">
        <f t="shared" si="13"/>
        <v/>
      </c>
      <c r="L112" s="78" t="str">
        <f t="shared" si="14"/>
        <v/>
      </c>
      <c r="M112" s="4"/>
      <c r="N112" s="79">
        <f>IF(OR($A112="",$B112=""),0,IF(COUNTIFS($A$5:$A112,$A112,$B$5:$B112,$B112)=1,1,0))</f>
        <v>0</v>
      </c>
      <c r="O112" s="79" t="str">
        <f t="shared" si="15"/>
        <v/>
      </c>
      <c r="P112" s="79" t="str">
        <f t="shared" si="16"/>
        <v/>
      </c>
      <c r="AL112" s="89" t="str">
        <f t="shared" ca="1" si="17"/>
        <v>ADMIN_Duomenys!$Y$5:$Y$18</v>
      </c>
    </row>
    <row r="113" spans="1:38" x14ac:dyDescent="0.3">
      <c r="A113" s="70" t="s">
        <v>252</v>
      </c>
      <c r="B113" s="71" t="s">
        <v>353</v>
      </c>
      <c r="C113" s="71" t="s">
        <v>358</v>
      </c>
      <c r="D113" s="71" t="s">
        <v>359</v>
      </c>
      <c r="E113" s="72">
        <v>13</v>
      </c>
      <c r="F113" s="73" t="s">
        <v>256</v>
      </c>
      <c r="G113" s="74"/>
      <c r="H113" s="75">
        <f t="shared" si="10"/>
        <v>2</v>
      </c>
      <c r="I113" s="16" t="str">
        <f t="shared" si="11"/>
        <v>Elvyra OKUNEVIČIENĖ</v>
      </c>
      <c r="J113" s="76" t="str">
        <f t="shared" si="12"/>
        <v>B|SPA VILNIUS 2|2</v>
      </c>
      <c r="K113" s="77" t="str">
        <f t="shared" si="13"/>
        <v/>
      </c>
      <c r="L113" s="78" t="str">
        <f t="shared" si="14"/>
        <v/>
      </c>
      <c r="M113" s="4"/>
      <c r="N113" s="79">
        <f>IF(OR($A113="",$B113=""),0,IF(COUNTIFS($A$5:$A113,$A113,$B$5:$B113,$B113)=1,1,0))</f>
        <v>0</v>
      </c>
      <c r="O113" s="79" t="str">
        <f t="shared" si="15"/>
        <v/>
      </c>
      <c r="P113" s="79" t="str">
        <f t="shared" si="16"/>
        <v/>
      </c>
      <c r="AL113" s="89" t="str">
        <f t="shared" ca="1" si="17"/>
        <v>ADMIN_Duomenys!$Y$5:$Y$18</v>
      </c>
    </row>
    <row r="114" spans="1:38" x14ac:dyDescent="0.3">
      <c r="A114" s="70" t="s">
        <v>252</v>
      </c>
      <c r="B114" s="71" t="s">
        <v>353</v>
      </c>
      <c r="C114" s="71" t="s">
        <v>301</v>
      </c>
      <c r="D114" s="71" t="s">
        <v>360</v>
      </c>
      <c r="E114" s="72">
        <v>0</v>
      </c>
      <c r="F114" s="73" t="s">
        <v>256</v>
      </c>
      <c r="G114" s="74"/>
      <c r="H114" s="75">
        <f t="shared" si="10"/>
        <v>6</v>
      </c>
      <c r="I114" s="16" t="str">
        <f t="shared" si="11"/>
        <v>Vaidas RADVILAVIČIUS</v>
      </c>
      <c r="J114" s="76" t="str">
        <f t="shared" si="12"/>
        <v>B|SPA VILNIUS 2|6</v>
      </c>
      <c r="K114" s="77" t="str">
        <f t="shared" si="13"/>
        <v/>
      </c>
      <c r="L114" s="78" t="str">
        <f t="shared" si="14"/>
        <v/>
      </c>
      <c r="M114" s="4"/>
      <c r="N114" s="79">
        <f>IF(OR($A114="",$B114=""),0,IF(COUNTIFS($A$5:$A114,$A114,$B$5:$B114,$B114)=1,1,0))</f>
        <v>0</v>
      </c>
      <c r="O114" s="79" t="str">
        <f t="shared" si="15"/>
        <v/>
      </c>
      <c r="P114" s="79" t="str">
        <f t="shared" si="16"/>
        <v/>
      </c>
      <c r="AL114" s="89" t="str">
        <f t="shared" ca="1" si="17"/>
        <v>ADMIN_Duomenys!$Y$5:$Y$18</v>
      </c>
    </row>
    <row r="115" spans="1:38" x14ac:dyDescent="0.3">
      <c r="A115" s="70" t="s">
        <v>252</v>
      </c>
      <c r="B115" s="71" t="s">
        <v>353</v>
      </c>
      <c r="C115" s="71" t="s">
        <v>263</v>
      </c>
      <c r="D115" s="71" t="s">
        <v>361</v>
      </c>
      <c r="E115" s="72">
        <v>0</v>
      </c>
      <c r="F115" s="73" t="s">
        <v>256</v>
      </c>
      <c r="G115" s="74"/>
      <c r="H115" s="75">
        <f t="shared" si="10"/>
        <v>1</v>
      </c>
      <c r="I115" s="16" t="str">
        <f t="shared" si="11"/>
        <v>Arūnas ŠAPOKA</v>
      </c>
      <c r="J115" s="76" t="str">
        <f t="shared" si="12"/>
        <v>B|SPA VILNIUS 2|1</v>
      </c>
      <c r="K115" s="77" t="str">
        <f t="shared" si="13"/>
        <v/>
      </c>
      <c r="L115" s="78" t="str">
        <f t="shared" si="14"/>
        <v/>
      </c>
      <c r="M115" s="4"/>
      <c r="N115" s="79">
        <f>IF(OR($A115="",$B115=""),0,IF(COUNTIFS($A$5:$A115,$A115,$B$5:$B115,$B115)=1,1,0))</f>
        <v>0</v>
      </c>
      <c r="O115" s="79" t="str">
        <f t="shared" si="15"/>
        <v/>
      </c>
      <c r="P115" s="79" t="str">
        <f t="shared" si="16"/>
        <v/>
      </c>
      <c r="AL115" s="89" t="str">
        <f t="shared" ca="1" si="17"/>
        <v>ADMIN_Duomenys!$Y$5:$Y$18</v>
      </c>
    </row>
    <row r="116" spans="1:38" x14ac:dyDescent="0.3">
      <c r="A116" s="70" t="s">
        <v>252</v>
      </c>
      <c r="B116" s="71" t="s">
        <v>353</v>
      </c>
      <c r="C116" s="71" t="s">
        <v>362</v>
      </c>
      <c r="D116" s="71" t="s">
        <v>363</v>
      </c>
      <c r="E116" s="72">
        <v>8</v>
      </c>
      <c r="F116" s="73" t="s">
        <v>256</v>
      </c>
      <c r="G116" s="74"/>
      <c r="H116" s="75">
        <f t="shared" si="10"/>
        <v>4</v>
      </c>
      <c r="I116" s="16" t="str">
        <f t="shared" si="11"/>
        <v>Meilė VIDŪNAITĖ</v>
      </c>
      <c r="J116" s="76" t="str">
        <f t="shared" si="12"/>
        <v>B|SPA VILNIUS 2|4</v>
      </c>
      <c r="K116" s="77" t="str">
        <f t="shared" si="13"/>
        <v/>
      </c>
      <c r="L116" s="78" t="str">
        <f t="shared" si="14"/>
        <v/>
      </c>
      <c r="M116" s="4"/>
      <c r="N116" s="79">
        <f>IF(OR($A116="",$B116=""),0,IF(COUNTIFS($A$5:$A116,$A116,$B$5:$B116,$B116)=1,1,0))</f>
        <v>0</v>
      </c>
      <c r="O116" s="79" t="str">
        <f t="shared" si="15"/>
        <v/>
      </c>
      <c r="P116" s="79" t="str">
        <f t="shared" si="16"/>
        <v/>
      </c>
      <c r="AL116" s="89" t="str">
        <f t="shared" ca="1" si="17"/>
        <v>ADMIN_Duomenys!$Y$5:$Y$18</v>
      </c>
    </row>
    <row r="117" spans="1:38" x14ac:dyDescent="0.3">
      <c r="A117" s="70" t="s">
        <v>252</v>
      </c>
      <c r="B117" s="71" t="s">
        <v>364</v>
      </c>
      <c r="C117" s="71" t="s">
        <v>366</v>
      </c>
      <c r="D117" s="71" t="s">
        <v>367</v>
      </c>
      <c r="E117" s="72">
        <v>0</v>
      </c>
      <c r="F117" s="73" t="s">
        <v>256</v>
      </c>
      <c r="G117" s="74"/>
      <c r="H117" s="75">
        <f t="shared" si="10"/>
        <v>4</v>
      </c>
      <c r="I117" s="16" t="str">
        <f t="shared" si="11"/>
        <v>Gintas BENDORAITIS</v>
      </c>
      <c r="J117" s="76" t="str">
        <f t="shared" si="12"/>
        <v>B|SVEIKATOS LANGAS|4</v>
      </c>
      <c r="K117" s="77" t="str">
        <f t="shared" si="13"/>
        <v/>
      </c>
      <c r="L117" s="78" t="str">
        <f t="shared" si="14"/>
        <v/>
      </c>
      <c r="M117" s="4"/>
      <c r="N117" s="79">
        <f>IF(OR($A117="",$B117=""),0,IF(COUNTIFS($A$5:$A117,$A117,$B$5:$B117,$B117)=1,1,0))</f>
        <v>1</v>
      </c>
      <c r="O117" s="79">
        <f t="shared" si="15"/>
        <v>10</v>
      </c>
      <c r="P117" s="79" t="str">
        <f t="shared" si="16"/>
        <v/>
      </c>
      <c r="AL117" s="89" t="str">
        <f t="shared" ca="1" si="17"/>
        <v>ADMIN_Duomenys!$Y$5:$Y$18</v>
      </c>
    </row>
    <row r="118" spans="1:38" x14ac:dyDescent="0.3">
      <c r="A118" s="70" t="s">
        <v>252</v>
      </c>
      <c r="B118" s="71" t="s">
        <v>364</v>
      </c>
      <c r="C118" s="71" t="s">
        <v>368</v>
      </c>
      <c r="D118" s="71" t="s">
        <v>204</v>
      </c>
      <c r="E118" s="72">
        <v>0</v>
      </c>
      <c r="F118" s="73" t="s">
        <v>256</v>
      </c>
      <c r="G118" s="74"/>
      <c r="H118" s="75">
        <f t="shared" si="10"/>
        <v>5</v>
      </c>
      <c r="I118" s="16" t="str">
        <f t="shared" si="11"/>
        <v>Mantvydas ČEPELIONIS</v>
      </c>
      <c r="J118" s="76" t="str">
        <f t="shared" si="12"/>
        <v>B|SVEIKATOS LANGAS|5</v>
      </c>
      <c r="K118" s="77" t="str">
        <f t="shared" si="13"/>
        <v/>
      </c>
      <c r="L118" s="78" t="str">
        <f t="shared" si="14"/>
        <v/>
      </c>
      <c r="M118" s="4"/>
      <c r="N118" s="79">
        <f>IF(OR($A118="",$B118=""),0,IF(COUNTIFS($A$5:$A118,$A118,$B$5:$B118,$B118)=1,1,0))</f>
        <v>0</v>
      </c>
      <c r="O118" s="79" t="str">
        <f t="shared" si="15"/>
        <v/>
      </c>
      <c r="P118" s="79" t="str">
        <f t="shared" si="16"/>
        <v/>
      </c>
      <c r="AL118" s="89" t="str">
        <f t="shared" ca="1" si="17"/>
        <v>ADMIN_Duomenys!$Y$5:$Y$18</v>
      </c>
    </row>
    <row r="119" spans="1:38" x14ac:dyDescent="0.3">
      <c r="A119" s="70" t="s">
        <v>252</v>
      </c>
      <c r="B119" s="71" t="s">
        <v>364</v>
      </c>
      <c r="C119" s="71" t="s">
        <v>281</v>
      </c>
      <c r="D119" s="71" t="s">
        <v>365</v>
      </c>
      <c r="E119" s="72">
        <v>0</v>
      </c>
      <c r="F119" s="73" t="s">
        <v>256</v>
      </c>
      <c r="G119" s="74"/>
      <c r="H119" s="75">
        <f t="shared" si="10"/>
        <v>2</v>
      </c>
      <c r="I119" s="16" t="str">
        <f t="shared" si="11"/>
        <v>Darius DRIŽYS</v>
      </c>
      <c r="J119" s="76" t="str">
        <f t="shared" si="12"/>
        <v>B|SVEIKATOS LANGAS|2</v>
      </c>
      <c r="K119" s="77" t="str">
        <f t="shared" si="13"/>
        <v/>
      </c>
      <c r="L119" s="78" t="str">
        <f t="shared" si="14"/>
        <v/>
      </c>
      <c r="M119" s="4"/>
      <c r="N119" s="79">
        <f>IF(OR($A119="",$B119=""),0,IF(COUNTIFS($A$5:$A119,$A119,$B$5:$B119,$B119)=1,1,0))</f>
        <v>0</v>
      </c>
      <c r="O119" s="79" t="str">
        <f t="shared" si="15"/>
        <v/>
      </c>
      <c r="P119" s="79" t="str">
        <f t="shared" si="16"/>
        <v/>
      </c>
      <c r="AL119" s="89" t="str">
        <f t="shared" ca="1" si="17"/>
        <v>ADMIN_Duomenys!$Y$5:$Y$18</v>
      </c>
    </row>
    <row r="120" spans="1:38" x14ac:dyDescent="0.3">
      <c r="A120" s="70" t="s">
        <v>252</v>
      </c>
      <c r="B120" s="71" t="s">
        <v>364</v>
      </c>
      <c r="C120" s="71" t="s">
        <v>351</v>
      </c>
      <c r="D120" s="71" t="s">
        <v>365</v>
      </c>
      <c r="E120" s="72">
        <v>0</v>
      </c>
      <c r="F120" s="73" t="s">
        <v>256</v>
      </c>
      <c r="G120" s="74"/>
      <c r="H120" s="75">
        <f t="shared" si="10"/>
        <v>6</v>
      </c>
      <c r="I120" s="16" t="str">
        <f t="shared" si="11"/>
        <v>Mindaugas DRIŽYS</v>
      </c>
      <c r="J120" s="76" t="str">
        <f t="shared" si="12"/>
        <v>B|SVEIKATOS LANGAS|6</v>
      </c>
      <c r="K120" s="77" t="str">
        <f t="shared" si="13"/>
        <v/>
      </c>
      <c r="L120" s="78" t="str">
        <f t="shared" si="14"/>
        <v/>
      </c>
      <c r="M120" s="4"/>
      <c r="N120" s="79">
        <f>IF(OR($A120="",$B120=""),0,IF(COUNTIFS($A$5:$A120,$A120,$B$5:$B120,$B120)=1,1,0))</f>
        <v>0</v>
      </c>
      <c r="O120" s="79" t="str">
        <f t="shared" si="15"/>
        <v/>
      </c>
      <c r="P120" s="79" t="str">
        <f t="shared" si="16"/>
        <v/>
      </c>
      <c r="AL120" s="89" t="str">
        <f t="shared" ca="1" si="17"/>
        <v>ADMIN_Duomenys!$Y$5:$Y$18</v>
      </c>
    </row>
    <row r="121" spans="1:38" x14ac:dyDescent="0.3">
      <c r="A121" s="70" t="s">
        <v>252</v>
      </c>
      <c r="B121" s="71" t="s">
        <v>364</v>
      </c>
      <c r="C121" s="71" t="s">
        <v>201</v>
      </c>
      <c r="D121" s="71" t="s">
        <v>369</v>
      </c>
      <c r="E121" s="72">
        <v>0</v>
      </c>
      <c r="F121" s="73" t="s">
        <v>256</v>
      </c>
      <c r="G121" s="74"/>
      <c r="H121" s="75">
        <f t="shared" si="10"/>
        <v>1</v>
      </c>
      <c r="I121" s="16" t="str">
        <f t="shared" si="11"/>
        <v>Aurelijus GERVICKAS</v>
      </c>
      <c r="J121" s="76" t="str">
        <f t="shared" si="12"/>
        <v>B|SVEIKATOS LANGAS|1</v>
      </c>
      <c r="K121" s="77" t="str">
        <f t="shared" si="13"/>
        <v/>
      </c>
      <c r="L121" s="78" t="str">
        <f t="shared" si="14"/>
        <v/>
      </c>
      <c r="M121" s="4"/>
      <c r="N121" s="79">
        <f>IF(OR($A121="",$B121=""),0,IF(COUNTIFS($A$5:$A121,$A121,$B$5:$B121,$B121)=1,1,0))</f>
        <v>0</v>
      </c>
      <c r="O121" s="79" t="str">
        <f t="shared" si="15"/>
        <v/>
      </c>
      <c r="P121" s="79" t="str">
        <f t="shared" si="16"/>
        <v/>
      </c>
      <c r="AL121" s="89" t="str">
        <f t="shared" ca="1" si="17"/>
        <v>ADMIN_Duomenys!$Y$5:$Y$18</v>
      </c>
    </row>
    <row r="122" spans="1:38" x14ac:dyDescent="0.3">
      <c r="A122" s="70" t="s">
        <v>252</v>
      </c>
      <c r="B122" s="71" t="s">
        <v>364</v>
      </c>
      <c r="C122" s="71" t="s">
        <v>370</v>
      </c>
      <c r="D122" s="71" t="s">
        <v>371</v>
      </c>
      <c r="E122" s="72">
        <v>8</v>
      </c>
      <c r="F122" s="73" t="s">
        <v>256</v>
      </c>
      <c r="G122" s="74"/>
      <c r="H122" s="75">
        <f t="shared" si="10"/>
        <v>8</v>
      </c>
      <c r="I122" s="16" t="str">
        <f t="shared" si="11"/>
        <v>Ramunė GERVICKIENĖ</v>
      </c>
      <c r="J122" s="76" t="str">
        <f t="shared" si="12"/>
        <v>B|SVEIKATOS LANGAS|8</v>
      </c>
      <c r="K122" s="77" t="str">
        <f t="shared" si="13"/>
        <v/>
      </c>
      <c r="L122" s="78" t="str">
        <f t="shared" si="14"/>
        <v/>
      </c>
      <c r="M122" s="4"/>
      <c r="N122" s="79">
        <f>IF(OR($A122="",$B122=""),0,IF(COUNTIFS($A$5:$A122,$A122,$B$5:$B122,$B122)=1,1,0))</f>
        <v>0</v>
      </c>
      <c r="O122" s="79" t="str">
        <f t="shared" si="15"/>
        <v/>
      </c>
      <c r="P122" s="79" t="str">
        <f t="shared" si="16"/>
        <v/>
      </c>
      <c r="AL122" s="89" t="str">
        <f t="shared" ca="1" si="17"/>
        <v>ADMIN_Duomenys!$Y$5:$Y$18</v>
      </c>
    </row>
    <row r="123" spans="1:38" x14ac:dyDescent="0.3">
      <c r="A123" s="70" t="s">
        <v>252</v>
      </c>
      <c r="B123" s="71" t="s">
        <v>364</v>
      </c>
      <c r="C123" s="71" t="s">
        <v>356</v>
      </c>
      <c r="D123" s="71" t="s">
        <v>372</v>
      </c>
      <c r="E123" s="72">
        <v>5</v>
      </c>
      <c r="F123" s="73" t="s">
        <v>256</v>
      </c>
      <c r="G123" s="74"/>
      <c r="H123" s="75">
        <f t="shared" si="10"/>
        <v>3</v>
      </c>
      <c r="I123" s="16" t="str">
        <f t="shared" si="11"/>
        <v>Gintaras ŽUKAS</v>
      </c>
      <c r="J123" s="76" t="str">
        <f t="shared" si="12"/>
        <v>B|SVEIKATOS LANGAS|3</v>
      </c>
      <c r="K123" s="77" t="str">
        <f t="shared" si="13"/>
        <v/>
      </c>
      <c r="L123" s="78" t="str">
        <f t="shared" si="14"/>
        <v/>
      </c>
      <c r="M123" s="4"/>
      <c r="N123" s="79">
        <f>IF(OR($A123="",$B123=""),0,IF(COUNTIFS($A$5:$A123,$A123,$B$5:$B123,$B123)=1,1,0))</f>
        <v>0</v>
      </c>
      <c r="O123" s="79" t="str">
        <f t="shared" si="15"/>
        <v/>
      </c>
      <c r="P123" s="79" t="str">
        <f t="shared" si="16"/>
        <v/>
      </c>
      <c r="AL123" s="89" t="str">
        <f t="shared" ca="1" si="17"/>
        <v>ADMIN_Duomenys!$Y$5:$Y$18</v>
      </c>
    </row>
    <row r="124" spans="1:38" x14ac:dyDescent="0.3">
      <c r="A124" s="70" t="s">
        <v>252</v>
      </c>
      <c r="B124" s="71" t="s">
        <v>364</v>
      </c>
      <c r="C124" s="71" t="s">
        <v>373</v>
      </c>
      <c r="D124" s="71" t="s">
        <v>374</v>
      </c>
      <c r="E124" s="72">
        <v>13</v>
      </c>
      <c r="F124" s="73" t="s">
        <v>256</v>
      </c>
      <c r="G124" s="74"/>
      <c r="H124" s="75">
        <f t="shared" si="10"/>
        <v>7</v>
      </c>
      <c r="I124" s="16" t="str">
        <f t="shared" si="11"/>
        <v>Nijolė ŽUKIENĖ</v>
      </c>
      <c r="J124" s="76" t="str">
        <f t="shared" si="12"/>
        <v>B|SVEIKATOS LANGAS|7</v>
      </c>
      <c r="K124" s="77" t="str">
        <f t="shared" si="13"/>
        <v/>
      </c>
      <c r="L124" s="78" t="str">
        <f t="shared" si="14"/>
        <v/>
      </c>
      <c r="M124" s="4"/>
      <c r="N124" s="79">
        <f>IF(OR($A124="",$B124=""),0,IF(COUNTIFS($A$5:$A124,$A124,$B$5:$B124,$B124)=1,1,0))</f>
        <v>0</v>
      </c>
      <c r="O124" s="79" t="str">
        <f t="shared" si="15"/>
        <v/>
      </c>
      <c r="P124" s="79" t="str">
        <f t="shared" si="16"/>
        <v/>
      </c>
      <c r="AL124" s="89" t="str">
        <f t="shared" ca="1" si="17"/>
        <v>ADMIN_Duomenys!$Y$5:$Y$18</v>
      </c>
    </row>
    <row r="125" spans="1:38" x14ac:dyDescent="0.3">
      <c r="A125" s="70" t="s">
        <v>252</v>
      </c>
      <c r="B125" s="71" t="s">
        <v>375</v>
      </c>
      <c r="C125" s="71" t="s">
        <v>376</v>
      </c>
      <c r="D125" s="71" t="s">
        <v>377</v>
      </c>
      <c r="E125" s="72">
        <v>0</v>
      </c>
      <c r="F125" s="73" t="s">
        <v>268</v>
      </c>
      <c r="G125" s="74"/>
      <c r="H125" s="75">
        <f t="shared" si="10"/>
        <v>1</v>
      </c>
      <c r="I125" s="16" t="str">
        <f t="shared" si="11"/>
        <v>Arnas AMOLEVIČIUS</v>
      </c>
      <c r="J125" s="76" t="str">
        <f t="shared" si="12"/>
        <v>B|TOYOTA|1</v>
      </c>
      <c r="K125" s="77" t="str">
        <f t="shared" si="13"/>
        <v/>
      </c>
      <c r="L125" s="78" t="str">
        <f t="shared" si="14"/>
        <v/>
      </c>
      <c r="M125" s="4"/>
      <c r="N125" s="79">
        <f>IF(OR($A125="",$B125=""),0,IF(COUNTIFS($A$5:$A125,$A125,$B$5:$B125,$B125)=1,1,0))</f>
        <v>1</v>
      </c>
      <c r="O125" s="79">
        <f t="shared" si="15"/>
        <v>11</v>
      </c>
      <c r="P125" s="79" t="str">
        <f t="shared" si="16"/>
        <v/>
      </c>
      <c r="AL125" s="89" t="str">
        <f t="shared" ca="1" si="17"/>
        <v>ADMIN_Duomenys!$Y$5:$Y$18</v>
      </c>
    </row>
    <row r="126" spans="1:38" x14ac:dyDescent="0.3">
      <c r="A126" s="70" t="s">
        <v>252</v>
      </c>
      <c r="B126" s="71" t="s">
        <v>375</v>
      </c>
      <c r="C126" s="71" t="s">
        <v>351</v>
      </c>
      <c r="D126" s="71" t="s">
        <v>378</v>
      </c>
      <c r="E126" s="72">
        <v>0</v>
      </c>
      <c r="F126" s="73" t="s">
        <v>268</v>
      </c>
      <c r="G126" s="74"/>
      <c r="H126" s="75">
        <f t="shared" si="10"/>
        <v>2</v>
      </c>
      <c r="I126" s="16" t="str">
        <f t="shared" si="11"/>
        <v>Mindaugas BARTKEVIČIUS</v>
      </c>
      <c r="J126" s="76" t="str">
        <f t="shared" si="12"/>
        <v>B|TOYOTA|2</v>
      </c>
      <c r="K126" s="77" t="str">
        <f t="shared" si="13"/>
        <v/>
      </c>
      <c r="L126" s="78" t="str">
        <f t="shared" si="14"/>
        <v/>
      </c>
      <c r="M126" s="4"/>
      <c r="N126" s="79">
        <f>IF(OR($A126="",$B126=""),0,IF(COUNTIFS($A$5:$A126,$A126,$B$5:$B126,$B126)=1,1,0))</f>
        <v>0</v>
      </c>
      <c r="O126" s="79" t="str">
        <f t="shared" si="15"/>
        <v/>
      </c>
      <c r="P126" s="79" t="str">
        <f t="shared" si="16"/>
        <v/>
      </c>
      <c r="AL126" s="89" t="str">
        <f t="shared" ca="1" si="17"/>
        <v>ADMIN_Duomenys!$Y$5:$Y$18</v>
      </c>
    </row>
    <row r="127" spans="1:38" x14ac:dyDescent="0.3">
      <c r="A127" s="70" t="s">
        <v>252</v>
      </c>
      <c r="B127" s="71" t="s">
        <v>375</v>
      </c>
      <c r="C127" s="71" t="s">
        <v>379</v>
      </c>
      <c r="D127" s="71" t="s">
        <v>380</v>
      </c>
      <c r="E127" s="72">
        <v>8</v>
      </c>
      <c r="F127" s="73" t="s">
        <v>268</v>
      </c>
      <c r="G127" s="74"/>
      <c r="H127" s="75">
        <f t="shared" si="10"/>
        <v>3</v>
      </c>
      <c r="I127" s="16" t="str">
        <f t="shared" si="11"/>
        <v>Rasa GERMANAVIČIENĖ</v>
      </c>
      <c r="J127" s="76" t="str">
        <f t="shared" si="12"/>
        <v>B|TOYOTA|3</v>
      </c>
      <c r="K127" s="77" t="str">
        <f t="shared" si="13"/>
        <v/>
      </c>
      <c r="L127" s="78" t="str">
        <f t="shared" si="14"/>
        <v/>
      </c>
      <c r="M127" s="4"/>
      <c r="N127" s="79">
        <f>IF(OR($A127="",$B127=""),0,IF(COUNTIFS($A$5:$A127,$A127,$B$5:$B127,$B127)=1,1,0))</f>
        <v>0</v>
      </c>
      <c r="O127" s="79" t="str">
        <f t="shared" si="15"/>
        <v/>
      </c>
      <c r="P127" s="79" t="str">
        <f t="shared" si="16"/>
        <v/>
      </c>
      <c r="AL127" s="89" t="str">
        <f t="shared" ca="1" si="17"/>
        <v>ADMIN_Duomenys!$Y$5:$Y$18</v>
      </c>
    </row>
    <row r="128" spans="1:38" x14ac:dyDescent="0.3">
      <c r="A128" s="70" t="s">
        <v>252</v>
      </c>
      <c r="B128" s="71" t="s">
        <v>375</v>
      </c>
      <c r="C128" s="71" t="s">
        <v>381</v>
      </c>
      <c r="D128" s="71" t="s">
        <v>382</v>
      </c>
      <c r="E128" s="72">
        <v>0</v>
      </c>
      <c r="F128" s="73" t="s">
        <v>268</v>
      </c>
      <c r="G128" s="74"/>
      <c r="H128" s="75">
        <f t="shared" si="10"/>
        <v>5</v>
      </c>
      <c r="I128" s="16" t="str">
        <f t="shared" si="11"/>
        <v>Tautvydas LEKAVIČIUS</v>
      </c>
      <c r="J128" s="76" t="str">
        <f t="shared" si="12"/>
        <v>B|TOYOTA|5</v>
      </c>
      <c r="K128" s="77" t="str">
        <f t="shared" si="13"/>
        <v/>
      </c>
      <c r="L128" s="78" t="str">
        <f t="shared" si="14"/>
        <v/>
      </c>
      <c r="M128" s="4"/>
      <c r="N128" s="79">
        <f>IF(OR($A128="",$B128=""),0,IF(COUNTIFS($A$5:$A128,$A128,$B$5:$B128,$B128)=1,1,0))</f>
        <v>0</v>
      </c>
      <c r="O128" s="79" t="str">
        <f t="shared" si="15"/>
        <v/>
      </c>
      <c r="P128" s="79" t="str">
        <f t="shared" si="16"/>
        <v/>
      </c>
      <c r="AL128" s="89" t="str">
        <f t="shared" ca="1" si="17"/>
        <v>ADMIN_Duomenys!$Y$5:$Y$18</v>
      </c>
    </row>
    <row r="129" spans="1:38" x14ac:dyDescent="0.3">
      <c r="A129" s="70" t="s">
        <v>252</v>
      </c>
      <c r="B129" s="71" t="s">
        <v>375</v>
      </c>
      <c r="C129" s="71" t="s">
        <v>383</v>
      </c>
      <c r="D129" s="71" t="s">
        <v>384</v>
      </c>
      <c r="E129" s="72">
        <v>0</v>
      </c>
      <c r="F129" s="73" t="s">
        <v>268</v>
      </c>
      <c r="G129" s="74"/>
      <c r="H129" s="75">
        <f t="shared" si="10"/>
        <v>6</v>
      </c>
      <c r="I129" s="16" t="str">
        <f t="shared" si="11"/>
        <v>Vytautas PEKARSKIS</v>
      </c>
      <c r="J129" s="76" t="str">
        <f t="shared" si="12"/>
        <v>B|TOYOTA|6</v>
      </c>
      <c r="K129" s="77" t="str">
        <f t="shared" si="13"/>
        <v/>
      </c>
      <c r="L129" s="78" t="str">
        <f t="shared" si="14"/>
        <v/>
      </c>
      <c r="M129" s="4"/>
      <c r="N129" s="79">
        <f>IF(OR($A129="",$B129=""),0,IF(COUNTIFS($A$5:$A129,$A129,$B$5:$B129,$B129)=1,1,0))</f>
        <v>0</v>
      </c>
      <c r="O129" s="79" t="str">
        <f t="shared" si="15"/>
        <v/>
      </c>
      <c r="P129" s="79" t="str">
        <f t="shared" si="16"/>
        <v/>
      </c>
      <c r="AL129" s="89" t="str">
        <f t="shared" ca="1" si="17"/>
        <v>ADMIN_Duomenys!$Y$5:$Y$18</v>
      </c>
    </row>
    <row r="130" spans="1:38" x14ac:dyDescent="0.3">
      <c r="A130" s="70" t="s">
        <v>252</v>
      </c>
      <c r="B130" s="71" t="s">
        <v>375</v>
      </c>
      <c r="C130" s="71" t="s">
        <v>385</v>
      </c>
      <c r="D130" s="71" t="s">
        <v>386</v>
      </c>
      <c r="E130" s="72">
        <v>0</v>
      </c>
      <c r="F130" s="73" t="s">
        <v>268</v>
      </c>
      <c r="G130" s="74"/>
      <c r="H130" s="75">
        <f t="shared" si="10"/>
        <v>4</v>
      </c>
      <c r="I130" s="16" t="str">
        <f t="shared" si="11"/>
        <v>Rytis TRUMPA</v>
      </c>
      <c r="J130" s="76" t="str">
        <f t="shared" si="12"/>
        <v>B|TOYOTA|4</v>
      </c>
      <c r="K130" s="77" t="str">
        <f t="shared" si="13"/>
        <v/>
      </c>
      <c r="L130" s="78" t="str">
        <f t="shared" si="14"/>
        <v/>
      </c>
      <c r="M130" s="4"/>
      <c r="N130" s="79">
        <f>IF(OR($A130="",$B130=""),0,IF(COUNTIFS($A$5:$A130,$A130,$B$5:$B130,$B130)=1,1,0))</f>
        <v>0</v>
      </c>
      <c r="O130" s="79" t="str">
        <f t="shared" si="15"/>
        <v/>
      </c>
      <c r="P130" s="79" t="str">
        <f t="shared" si="16"/>
        <v/>
      </c>
      <c r="AL130" s="89" t="str">
        <f t="shared" ca="1" si="17"/>
        <v>ADMIN_Duomenys!$Y$5:$Y$18</v>
      </c>
    </row>
    <row r="131" spans="1:38" x14ac:dyDescent="0.3">
      <c r="A131" s="70" t="s">
        <v>252</v>
      </c>
      <c r="B131" s="71" t="s">
        <v>387</v>
      </c>
      <c r="C131" s="71" t="s">
        <v>388</v>
      </c>
      <c r="D131" s="71" t="s">
        <v>389</v>
      </c>
      <c r="E131" s="72">
        <v>0</v>
      </c>
      <c r="F131" s="73" t="s">
        <v>256</v>
      </c>
      <c r="G131" s="74"/>
      <c r="H131" s="75">
        <f t="shared" si="10"/>
        <v>1</v>
      </c>
      <c r="I131" s="16" t="str">
        <f t="shared" si="11"/>
        <v>Domantas ČEPULIS</v>
      </c>
      <c r="J131" s="76" t="str">
        <f t="shared" si="12"/>
        <v>B|WITSEE|1</v>
      </c>
      <c r="K131" s="77" t="str">
        <f t="shared" si="13"/>
        <v/>
      </c>
      <c r="L131" s="78" t="str">
        <f t="shared" si="14"/>
        <v/>
      </c>
      <c r="M131" s="4"/>
      <c r="N131" s="79">
        <f>IF(OR($A131="",$B131=""),0,IF(COUNTIFS($A$5:$A131,$A131,$B$5:$B131,$B131)=1,1,0))</f>
        <v>1</v>
      </c>
      <c r="O131" s="79">
        <f t="shared" si="15"/>
        <v>12</v>
      </c>
      <c r="P131" s="79" t="str">
        <f t="shared" si="16"/>
        <v/>
      </c>
      <c r="AL131" s="89" t="str">
        <f t="shared" ca="1" si="17"/>
        <v>ADMIN_Duomenys!$Y$5:$Y$18</v>
      </c>
    </row>
    <row r="132" spans="1:38" x14ac:dyDescent="0.3">
      <c r="A132" s="70" t="s">
        <v>252</v>
      </c>
      <c r="B132" s="71" t="s">
        <v>387</v>
      </c>
      <c r="C132" s="71" t="s">
        <v>390</v>
      </c>
      <c r="D132" s="71" t="s">
        <v>391</v>
      </c>
      <c r="E132" s="72">
        <v>0</v>
      </c>
      <c r="F132" s="73" t="s">
        <v>256</v>
      </c>
      <c r="G132" s="74"/>
      <c r="H132" s="75">
        <f t="shared" si="10"/>
        <v>3</v>
      </c>
      <c r="I132" s="16" t="str">
        <f t="shared" si="11"/>
        <v>Emilijus GRIGORAITIS</v>
      </c>
      <c r="J132" s="76" t="str">
        <f t="shared" si="12"/>
        <v>B|WITSEE|3</v>
      </c>
      <c r="K132" s="77" t="str">
        <f t="shared" si="13"/>
        <v/>
      </c>
      <c r="L132" s="78" t="str">
        <f t="shared" si="14"/>
        <v/>
      </c>
      <c r="M132" s="4"/>
      <c r="N132" s="79">
        <f>IF(OR($A132="",$B132=""),0,IF(COUNTIFS($A$5:$A132,$A132,$B$5:$B132,$B132)=1,1,0))</f>
        <v>0</v>
      </c>
      <c r="O132" s="79" t="str">
        <f t="shared" si="15"/>
        <v/>
      </c>
      <c r="P132" s="79" t="str">
        <f t="shared" si="16"/>
        <v/>
      </c>
      <c r="AL132" s="89" t="str">
        <f t="shared" ca="1" si="17"/>
        <v>ADMIN_Duomenys!$Y$5:$Y$18</v>
      </c>
    </row>
    <row r="133" spans="1:38" x14ac:dyDescent="0.3">
      <c r="A133" s="70" t="s">
        <v>252</v>
      </c>
      <c r="B133" s="71" t="s">
        <v>387</v>
      </c>
      <c r="C133" s="71" t="s">
        <v>383</v>
      </c>
      <c r="D133" s="71" t="s">
        <v>391</v>
      </c>
      <c r="E133" s="72">
        <v>5</v>
      </c>
      <c r="F133" s="73" t="s">
        <v>256</v>
      </c>
      <c r="G133" s="74"/>
      <c r="H133" s="75">
        <f t="shared" ref="H133:H196" si="18">IF(OR($A133="",$B133="",$I133=""),"",SUMPRODUCT(($A$5:$A$604=$A133)*($B$5:$B$604=$B133)*($I$5:$I$604&lt;&gt;"")*($I$5:$I$604&lt;$I133))+SUMPRODUCT(($A$5:$A$604=$A133)*($B$5:$B$604=$B133)*($I$5:$I$604=$I133)*(ROW($I$5:$I$604)&lt;=ROW($I133))))</f>
        <v>6</v>
      </c>
      <c r="I133" s="16" t="str">
        <f t="shared" ref="I133:I196" si="19">IF(TRIM($C133&amp;$D133)="","",PROPER(TRIM($C133))&amp;" "&amp;UPPER(TRIM($D133)))</f>
        <v>Vytautas GRIGORAITIS</v>
      </c>
      <c r="J133" s="76" t="str">
        <f t="shared" ref="J133:J196" si="20">IF(OR($A133="",$B133="",$H133=""),"",$A133&amp;"|"&amp;$B133&amp;"|"&amp;$H133)</f>
        <v>B|WITSEE|6</v>
      </c>
      <c r="K133" s="77" t="str">
        <f t="shared" ref="K133:K196" si="21">IF(COUNTA($A133:$E133)=0,"",IF($A133="","← Nurodykite lygą (A / B / C)",IF($B133="","← Nurodykite komandą",IF(TRIM($C133)="","← Nurodykite vardą",IF(TRIM($D133)="","← Nurodykite pavardę",IF(NOT(ISNUMBER($E133)),"← Nurodykite Hcp (jei neturi – 0)",IF(AND(OR($A133="B",$A133="C"),NOT(OR($F133="Rytai",$F133="Vakarai"))),"← Nurodykite pogrupį (Rytai / Vakarai)",IF(AND($A133="A",OR($F133="Rytai",$F133="Vakarai")),"← A lygos komandos į pogrupius neskirstomos",IF(COUNTIFS($A$5:$A$604,$A133,$B$5:$B$604,$B133,$F$5:$F$604,"&lt;&gt;"&amp;$F133)&gt;0,"← Šios komandos pogrupis nurodytas nevienodai",IF($H133&gt;8,"← Šioje komandoje jau daugiau nei 8 žaidėjai",""))))))))))</f>
        <v/>
      </c>
      <c r="L133" s="78" t="str">
        <f t="shared" ref="L133:L196" si="22">IF($I133="","",IF(COUNTIF($I$5:$I$604,$I133)&gt;1,"ℹ tokių pačių vardų sąraše: "&amp;COUNTIF($I$5:$I$604,$I133),IF(AND($B133&lt;&gt;"",COUNTIFS($A$5:$A$604,$A133,$B$5:$B$604,$B133)&lt;3),"ℹ šioje komandoje tik "&amp;COUNTIFS($A$5:$A$604,$A133,$B$5:$B$604,$B133)&amp;" žaid. – ar ne rašybos klaida?","")))</f>
        <v/>
      </c>
      <c r="M133" s="4"/>
      <c r="N133" s="79">
        <f>IF(OR($A133="",$B133=""),0,IF(COUNTIFS($A$5:$A133,$A133,$B$5:$B133,$B133)=1,1,0))</f>
        <v>0</v>
      </c>
      <c r="O133" s="79" t="str">
        <f t="shared" ref="O133:O196" si="23">IF($N133&lt;&gt;1,"",1+SUMPRODUCT(($A$5:$A$604=$A133)*($B$5:$B$604&lt;$B133)*($N$5:$N$604=1)))</f>
        <v/>
      </c>
      <c r="P133" s="79" t="str">
        <f t="shared" ref="P133:P196" si="24">IF(OR($N133&lt;&gt;1,$A133&lt;&gt;Lyga,AND(Pogrupis&lt;&gt;"",$F133&lt;&gt;Pogrupis)),"",1+SUMPRODUCT(($A$5:$A$604=Lyga)*($N$5:$N$604=1)*($B$5:$B$604&lt;$B133)*((($F$5:$F$604=Pogrupis)+(Pogrupis=""))&gt;0)))</f>
        <v/>
      </c>
      <c r="AL133" s="89" t="str">
        <f t="shared" ref="AL133:AL196" ca="1" si="25">IF(NOT(OR($A133="A",$A133="B",$A133="C")),"","ADMIN_Duomenys!$"&amp;IF($A133="A","W",IF($A133="B","Y","AA"))&amp;"$5:$"&amp;IF($A133="A","W",IF($A133="B","Y","AA"))&amp;"$"&amp;(4+MAX(1,COUNTIF(INDIRECT("ADMIN_Duomenys!$"&amp;IF($A133="A","W",IF($A133="B","Y","AA"))&amp;"$5:$"&amp;IF($A133="A","W",IF($A133="B","Y","AA"))&amp;"$44"),"?*"))))</f>
        <v>ADMIN_Duomenys!$Y$5:$Y$18</v>
      </c>
    </row>
    <row r="134" spans="1:38" x14ac:dyDescent="0.3">
      <c r="A134" s="70" t="s">
        <v>252</v>
      </c>
      <c r="B134" s="71" t="s">
        <v>387</v>
      </c>
      <c r="C134" s="71" t="s">
        <v>392</v>
      </c>
      <c r="D134" s="71" t="s">
        <v>393</v>
      </c>
      <c r="E134" s="72">
        <v>0</v>
      </c>
      <c r="F134" s="73" t="s">
        <v>256</v>
      </c>
      <c r="G134" s="74"/>
      <c r="H134" s="75">
        <f t="shared" si="18"/>
        <v>4</v>
      </c>
      <c r="I134" s="16" t="str">
        <f t="shared" si="19"/>
        <v>Jonas LAZAUSKAS</v>
      </c>
      <c r="J134" s="76" t="str">
        <f t="shared" si="20"/>
        <v>B|WITSEE|4</v>
      </c>
      <c r="K134" s="77" t="str">
        <f t="shared" si="21"/>
        <v/>
      </c>
      <c r="L134" s="78" t="str">
        <f t="shared" si="22"/>
        <v/>
      </c>
      <c r="M134" s="4"/>
      <c r="N134" s="79">
        <f>IF(OR($A134="",$B134=""),0,IF(COUNTIFS($A$5:$A134,$A134,$B$5:$B134,$B134)=1,1,0))</f>
        <v>0</v>
      </c>
      <c r="O134" s="79" t="str">
        <f t="shared" si="23"/>
        <v/>
      </c>
      <c r="P134" s="79" t="str">
        <f t="shared" si="24"/>
        <v/>
      </c>
      <c r="AL134" s="89" t="str">
        <f t="shared" ca="1" si="25"/>
        <v>ADMIN_Duomenys!$Y$5:$Y$18</v>
      </c>
    </row>
    <row r="135" spans="1:38" x14ac:dyDescent="0.3">
      <c r="A135" s="70" t="s">
        <v>252</v>
      </c>
      <c r="B135" s="71" t="s">
        <v>387</v>
      </c>
      <c r="C135" s="71" t="s">
        <v>394</v>
      </c>
      <c r="D135" s="71" t="s">
        <v>395</v>
      </c>
      <c r="E135" s="72">
        <v>0</v>
      </c>
      <c r="F135" s="73" t="s">
        <v>256</v>
      </c>
      <c r="G135" s="74"/>
      <c r="H135" s="75">
        <f t="shared" si="18"/>
        <v>5</v>
      </c>
      <c r="I135" s="16" t="str">
        <f t="shared" si="19"/>
        <v>Vitalijus MALYCHINAS</v>
      </c>
      <c r="J135" s="76" t="str">
        <f t="shared" si="20"/>
        <v>B|WITSEE|5</v>
      </c>
      <c r="K135" s="77" t="str">
        <f t="shared" si="21"/>
        <v/>
      </c>
      <c r="L135" s="78" t="str">
        <f t="shared" si="22"/>
        <v/>
      </c>
      <c r="M135" s="4"/>
      <c r="N135" s="79">
        <f>IF(OR($A135="",$B135=""),0,IF(COUNTIFS($A$5:$A135,$A135,$B$5:$B135,$B135)=1,1,0))</f>
        <v>0</v>
      </c>
      <c r="O135" s="79" t="str">
        <f t="shared" si="23"/>
        <v/>
      </c>
      <c r="P135" s="79" t="str">
        <f t="shared" si="24"/>
        <v/>
      </c>
      <c r="AL135" s="89" t="str">
        <f t="shared" ca="1" si="25"/>
        <v>ADMIN_Duomenys!$Y$5:$Y$18</v>
      </c>
    </row>
    <row r="136" spans="1:38" x14ac:dyDescent="0.3">
      <c r="A136" s="70" t="s">
        <v>252</v>
      </c>
      <c r="B136" s="71" t="s">
        <v>387</v>
      </c>
      <c r="C136" s="71" t="s">
        <v>303</v>
      </c>
      <c r="D136" s="71" t="s">
        <v>396</v>
      </c>
      <c r="E136" s="72">
        <v>0</v>
      </c>
      <c r="F136" s="73" t="s">
        <v>256</v>
      </c>
      <c r="G136" s="74"/>
      <c r="H136" s="75">
        <f t="shared" si="18"/>
        <v>2</v>
      </c>
      <c r="I136" s="16" t="str">
        <f t="shared" si="19"/>
        <v>Edvinas NIKANOROVAS</v>
      </c>
      <c r="J136" s="76" t="str">
        <f t="shared" si="20"/>
        <v>B|WITSEE|2</v>
      </c>
      <c r="K136" s="77" t="str">
        <f t="shared" si="21"/>
        <v/>
      </c>
      <c r="L136" s="78" t="str">
        <f t="shared" si="22"/>
        <v/>
      </c>
      <c r="M136" s="4"/>
      <c r="N136" s="79">
        <f>IF(OR($A136="",$B136=""),0,IF(COUNTIFS($A$5:$A136,$A136,$B$5:$B136,$B136)=1,1,0))</f>
        <v>0</v>
      </c>
      <c r="O136" s="79" t="str">
        <f t="shared" si="23"/>
        <v/>
      </c>
      <c r="P136" s="79" t="str">
        <f t="shared" si="24"/>
        <v/>
      </c>
      <c r="AL136" s="89" t="str">
        <f t="shared" ca="1" si="25"/>
        <v>ADMIN_Duomenys!$Y$5:$Y$18</v>
      </c>
    </row>
    <row r="137" spans="1:38" x14ac:dyDescent="0.3">
      <c r="A137" s="70" t="s">
        <v>252</v>
      </c>
      <c r="B137" s="71" t="s">
        <v>397</v>
      </c>
      <c r="C137" s="71" t="s">
        <v>398</v>
      </c>
      <c r="D137" s="71" t="s">
        <v>399</v>
      </c>
      <c r="E137" s="72">
        <v>0</v>
      </c>
      <c r="F137" s="73" t="s">
        <v>268</v>
      </c>
      <c r="G137" s="74"/>
      <c r="H137" s="75">
        <f t="shared" si="18"/>
        <v>5</v>
      </c>
      <c r="I137" s="16" t="str">
        <f t="shared" si="19"/>
        <v>Romas JASEVIČIUS</v>
      </c>
      <c r="J137" s="76" t="str">
        <f t="shared" si="20"/>
        <v>B|X12|5</v>
      </c>
      <c r="K137" s="77" t="str">
        <f t="shared" si="21"/>
        <v/>
      </c>
      <c r="L137" s="78" t="str">
        <f t="shared" si="22"/>
        <v/>
      </c>
      <c r="M137" s="4"/>
      <c r="N137" s="79">
        <f>IF(OR($A137="",$B137=""),0,IF(COUNTIFS($A$5:$A137,$A137,$B$5:$B137,$B137)=1,1,0))</f>
        <v>1</v>
      </c>
      <c r="O137" s="79">
        <f t="shared" si="23"/>
        <v>13</v>
      </c>
      <c r="P137" s="79" t="str">
        <f t="shared" si="24"/>
        <v/>
      </c>
      <c r="AL137" s="89" t="str">
        <f t="shared" ca="1" si="25"/>
        <v>ADMIN_Duomenys!$Y$5:$Y$18</v>
      </c>
    </row>
    <row r="138" spans="1:38" x14ac:dyDescent="0.3">
      <c r="A138" s="70" t="s">
        <v>252</v>
      </c>
      <c r="B138" s="71" t="s">
        <v>397</v>
      </c>
      <c r="C138" s="71" t="s">
        <v>400</v>
      </c>
      <c r="D138" s="71" t="s">
        <v>401</v>
      </c>
      <c r="E138" s="72">
        <v>0</v>
      </c>
      <c r="F138" s="73" t="s">
        <v>268</v>
      </c>
      <c r="G138" s="74"/>
      <c r="H138" s="75">
        <f t="shared" si="18"/>
        <v>7</v>
      </c>
      <c r="I138" s="16" t="str">
        <f t="shared" si="19"/>
        <v>Vladas PETRAUSKAS</v>
      </c>
      <c r="J138" s="76" t="str">
        <f t="shared" si="20"/>
        <v>B|X12|7</v>
      </c>
      <c r="K138" s="77" t="str">
        <f t="shared" si="21"/>
        <v/>
      </c>
      <c r="L138" s="78" t="str">
        <f t="shared" si="22"/>
        <v/>
      </c>
      <c r="M138" s="4"/>
      <c r="N138" s="79">
        <f>IF(OR($A138="",$B138=""),0,IF(COUNTIFS($A$5:$A138,$A138,$B$5:$B138,$B138)=1,1,0))</f>
        <v>0</v>
      </c>
      <c r="O138" s="79" t="str">
        <f t="shared" si="23"/>
        <v/>
      </c>
      <c r="P138" s="79" t="str">
        <f t="shared" si="24"/>
        <v/>
      </c>
      <c r="AL138" s="89" t="str">
        <f t="shared" ca="1" si="25"/>
        <v>ADMIN_Duomenys!$Y$5:$Y$18</v>
      </c>
    </row>
    <row r="139" spans="1:38" x14ac:dyDescent="0.3">
      <c r="A139" s="70" t="s">
        <v>252</v>
      </c>
      <c r="B139" s="71" t="s">
        <v>397</v>
      </c>
      <c r="C139" s="71" t="s">
        <v>149</v>
      </c>
      <c r="D139" s="71" t="s">
        <v>403</v>
      </c>
      <c r="E139" s="72">
        <v>0</v>
      </c>
      <c r="F139" s="73" t="s">
        <v>268</v>
      </c>
      <c r="G139" s="74"/>
      <c r="H139" s="75">
        <f t="shared" si="18"/>
        <v>6</v>
      </c>
      <c r="I139" s="16" t="str">
        <f t="shared" si="19"/>
        <v>Sigitas SURBLYS</v>
      </c>
      <c r="J139" s="76" t="str">
        <f t="shared" si="20"/>
        <v>B|X12|6</v>
      </c>
      <c r="K139" s="77" t="str">
        <f t="shared" si="21"/>
        <v/>
      </c>
      <c r="L139" s="78" t="str">
        <f t="shared" si="22"/>
        <v/>
      </c>
      <c r="M139" s="4"/>
      <c r="N139" s="79">
        <f>IF(OR($A139="",$B139=""),0,IF(COUNTIFS($A$5:$A139,$A139,$B$5:$B139,$B139)=1,1,0))</f>
        <v>0</v>
      </c>
      <c r="O139" s="79" t="str">
        <f t="shared" si="23"/>
        <v/>
      </c>
      <c r="P139" s="79" t="str">
        <f t="shared" si="24"/>
        <v/>
      </c>
      <c r="AL139" s="89" t="str">
        <f t="shared" ca="1" si="25"/>
        <v>ADMIN_Duomenys!$Y$5:$Y$18</v>
      </c>
    </row>
    <row r="140" spans="1:38" x14ac:dyDescent="0.3">
      <c r="A140" s="70" t="s">
        <v>252</v>
      </c>
      <c r="B140" s="71" t="s">
        <v>397</v>
      </c>
      <c r="C140" s="71" t="s">
        <v>303</v>
      </c>
      <c r="D140" s="71" t="s">
        <v>402</v>
      </c>
      <c r="E140" s="72">
        <v>0</v>
      </c>
      <c r="F140" s="73" t="s">
        <v>268</v>
      </c>
      <c r="G140" s="74"/>
      <c r="H140" s="75">
        <f t="shared" si="18"/>
        <v>4</v>
      </c>
      <c r="I140" s="16" t="str">
        <f t="shared" si="19"/>
        <v>Edvinas ŠPAČKAUSKAS</v>
      </c>
      <c r="J140" s="76" t="str">
        <f t="shared" si="20"/>
        <v>B|X12|4</v>
      </c>
      <c r="K140" s="77" t="str">
        <f t="shared" si="21"/>
        <v/>
      </c>
      <c r="L140" s="78" t="str">
        <f t="shared" si="22"/>
        <v/>
      </c>
      <c r="M140" s="4"/>
      <c r="N140" s="79">
        <f>IF(OR($A140="",$B140=""),0,IF(COUNTIFS($A$5:$A140,$A140,$B$5:$B140,$B140)=1,1,0))</f>
        <v>0</v>
      </c>
      <c r="O140" s="79" t="str">
        <f t="shared" si="23"/>
        <v/>
      </c>
      <c r="P140" s="79" t="str">
        <f t="shared" si="24"/>
        <v/>
      </c>
      <c r="AL140" s="89" t="str">
        <f t="shared" ca="1" si="25"/>
        <v>ADMIN_Duomenys!$Y$5:$Y$18</v>
      </c>
    </row>
    <row r="141" spans="1:38" x14ac:dyDescent="0.3">
      <c r="A141" s="70" t="s">
        <v>252</v>
      </c>
      <c r="B141" s="71" t="s">
        <v>397</v>
      </c>
      <c r="C141" s="71" t="s">
        <v>263</v>
      </c>
      <c r="D141" s="71" t="s">
        <v>404</v>
      </c>
      <c r="E141" s="72">
        <v>0</v>
      </c>
      <c r="F141" s="73" t="s">
        <v>268</v>
      </c>
      <c r="G141" s="74"/>
      <c r="H141" s="75">
        <f t="shared" si="18"/>
        <v>3</v>
      </c>
      <c r="I141" s="16" t="str">
        <f t="shared" si="19"/>
        <v>Arūnas ZAJAUSKAS</v>
      </c>
      <c r="J141" s="76" t="str">
        <f t="shared" si="20"/>
        <v>B|X12|3</v>
      </c>
      <c r="K141" s="77" t="str">
        <f t="shared" si="21"/>
        <v/>
      </c>
      <c r="L141" s="78" t="str">
        <f t="shared" si="22"/>
        <v/>
      </c>
      <c r="M141" s="4"/>
      <c r="N141" s="79">
        <f>IF(OR($A141="",$B141=""),0,IF(COUNTIFS($A$5:$A141,$A141,$B$5:$B141,$B141)=1,1,0))</f>
        <v>0</v>
      </c>
      <c r="O141" s="79" t="str">
        <f t="shared" si="23"/>
        <v/>
      </c>
      <c r="P141" s="79" t="str">
        <f t="shared" si="24"/>
        <v/>
      </c>
      <c r="AL141" s="89" t="str">
        <f t="shared" ca="1" si="25"/>
        <v>ADMIN_Duomenys!$Y$5:$Y$18</v>
      </c>
    </row>
    <row r="142" spans="1:38" x14ac:dyDescent="0.3">
      <c r="A142" s="70" t="s">
        <v>252</v>
      </c>
      <c r="B142" s="71" t="s">
        <v>397</v>
      </c>
      <c r="C142" s="71" t="s">
        <v>405</v>
      </c>
      <c r="D142" s="71" t="s">
        <v>404</v>
      </c>
      <c r="E142" s="72">
        <v>12</v>
      </c>
      <c r="F142" s="73" t="s">
        <v>268</v>
      </c>
      <c r="G142" s="74"/>
      <c r="H142" s="75">
        <f t="shared" si="18"/>
        <v>2</v>
      </c>
      <c r="I142" s="16" t="str">
        <f t="shared" si="19"/>
        <v>Aras ZAJAUSKAS</v>
      </c>
      <c r="J142" s="76" t="str">
        <f t="shared" si="20"/>
        <v>B|X12|2</v>
      </c>
      <c r="K142" s="77" t="str">
        <f t="shared" si="21"/>
        <v/>
      </c>
      <c r="L142" s="78" t="str">
        <f t="shared" si="22"/>
        <v/>
      </c>
      <c r="M142" s="4"/>
      <c r="N142" s="79">
        <f>IF(OR($A142="",$B142=""),0,IF(COUNTIFS($A$5:$A142,$A142,$B$5:$B142,$B142)=1,1,0))</f>
        <v>0</v>
      </c>
      <c r="O142" s="79" t="str">
        <f t="shared" si="23"/>
        <v/>
      </c>
      <c r="P142" s="79" t="str">
        <f t="shared" si="24"/>
        <v/>
      </c>
      <c r="AL142" s="89" t="str">
        <f t="shared" ca="1" si="25"/>
        <v>ADMIN_Duomenys!$Y$5:$Y$18</v>
      </c>
    </row>
    <row r="143" spans="1:38" x14ac:dyDescent="0.3">
      <c r="A143" s="70" t="s">
        <v>252</v>
      </c>
      <c r="B143" s="71" t="s">
        <v>397</v>
      </c>
      <c r="C143" s="71" t="s">
        <v>161</v>
      </c>
      <c r="D143" s="71" t="s">
        <v>372</v>
      </c>
      <c r="E143" s="72">
        <v>0</v>
      </c>
      <c r="F143" s="73" t="s">
        <v>268</v>
      </c>
      <c r="G143" s="74"/>
      <c r="H143" s="75">
        <f t="shared" si="18"/>
        <v>1</v>
      </c>
      <c r="I143" s="16" t="str">
        <f t="shared" si="19"/>
        <v>Andrius ŽUKAS</v>
      </c>
      <c r="J143" s="76" t="str">
        <f t="shared" si="20"/>
        <v>B|X12|1</v>
      </c>
      <c r="K143" s="77" t="str">
        <f t="shared" si="21"/>
        <v/>
      </c>
      <c r="L143" s="78" t="str">
        <f t="shared" si="22"/>
        <v/>
      </c>
      <c r="M143" s="4"/>
      <c r="N143" s="79">
        <f>IF(OR($A143="",$B143=""),0,IF(COUNTIFS($A$5:$A143,$A143,$B$5:$B143,$B143)=1,1,0))</f>
        <v>0</v>
      </c>
      <c r="O143" s="79" t="str">
        <f t="shared" si="23"/>
        <v/>
      </c>
      <c r="P143" s="79" t="str">
        <f t="shared" si="24"/>
        <v/>
      </c>
      <c r="AL143" s="89" t="str">
        <f t="shared" ca="1" si="25"/>
        <v>ADMIN_Duomenys!$Y$5:$Y$18</v>
      </c>
    </row>
    <row r="144" spans="1:38" x14ac:dyDescent="0.3">
      <c r="A144" s="70" t="s">
        <v>252</v>
      </c>
      <c r="B144" s="71" t="s">
        <v>406</v>
      </c>
      <c r="C144" s="71" t="s">
        <v>407</v>
      </c>
      <c r="D144" s="71" t="s">
        <v>408</v>
      </c>
      <c r="E144" s="72">
        <v>0</v>
      </c>
      <c r="F144" s="73" t="s">
        <v>268</v>
      </c>
      <c r="G144" s="74"/>
      <c r="H144" s="75">
        <f t="shared" si="18"/>
        <v>1</v>
      </c>
      <c r="I144" s="16" t="str">
        <f t="shared" si="19"/>
        <v>Aivaras ARNAŠIUS</v>
      </c>
      <c r="J144" s="76" t="str">
        <f t="shared" si="20"/>
        <v>B|YIT LIETUVA|1</v>
      </c>
      <c r="K144" s="77" t="str">
        <f t="shared" si="21"/>
        <v/>
      </c>
      <c r="L144" s="78" t="str">
        <f t="shared" si="22"/>
        <v/>
      </c>
      <c r="M144" s="4"/>
      <c r="N144" s="79">
        <f>IF(OR($A144="",$B144=""),0,IF(COUNTIFS($A$5:$A144,$A144,$B$5:$B144,$B144)=1,1,0))</f>
        <v>1</v>
      </c>
      <c r="O144" s="79">
        <f t="shared" si="23"/>
        <v>14</v>
      </c>
      <c r="P144" s="79" t="str">
        <f t="shared" si="24"/>
        <v/>
      </c>
      <c r="AL144" s="89" t="str">
        <f t="shared" ca="1" si="25"/>
        <v>ADMIN_Duomenys!$Y$5:$Y$18</v>
      </c>
    </row>
    <row r="145" spans="1:38" x14ac:dyDescent="0.3">
      <c r="A145" s="70" t="s">
        <v>252</v>
      </c>
      <c r="B145" s="71" t="s">
        <v>406</v>
      </c>
      <c r="C145" s="71" t="s">
        <v>196</v>
      </c>
      <c r="D145" s="71" t="s">
        <v>409</v>
      </c>
      <c r="E145" s="72">
        <v>0</v>
      </c>
      <c r="F145" s="73" t="s">
        <v>268</v>
      </c>
      <c r="G145" s="74"/>
      <c r="H145" s="75">
        <f t="shared" si="18"/>
        <v>6</v>
      </c>
      <c r="I145" s="16" t="str">
        <f t="shared" si="19"/>
        <v>Vaidotas BARANAUSKAS</v>
      </c>
      <c r="J145" s="76" t="str">
        <f t="shared" si="20"/>
        <v>B|YIT LIETUVA|6</v>
      </c>
      <c r="K145" s="77" t="str">
        <f t="shared" si="21"/>
        <v/>
      </c>
      <c r="L145" s="78" t="str">
        <f t="shared" si="22"/>
        <v/>
      </c>
      <c r="M145" s="4"/>
      <c r="N145" s="79">
        <f>IF(OR($A145="",$B145=""),0,IF(COUNTIFS($A$5:$A145,$A145,$B$5:$B145,$B145)=1,1,0))</f>
        <v>0</v>
      </c>
      <c r="O145" s="79" t="str">
        <f t="shared" si="23"/>
        <v/>
      </c>
      <c r="P145" s="79" t="str">
        <f t="shared" si="24"/>
        <v/>
      </c>
      <c r="AL145" s="89" t="str">
        <f t="shared" ca="1" si="25"/>
        <v>ADMIN_Duomenys!$Y$5:$Y$18</v>
      </c>
    </row>
    <row r="146" spans="1:38" x14ac:dyDescent="0.3">
      <c r="A146" s="70" t="s">
        <v>252</v>
      </c>
      <c r="B146" s="71" t="s">
        <v>406</v>
      </c>
      <c r="C146" s="71" t="s">
        <v>410</v>
      </c>
      <c r="D146" s="71" t="s">
        <v>411</v>
      </c>
      <c r="E146" s="72">
        <v>8</v>
      </c>
      <c r="F146" s="73" t="s">
        <v>268</v>
      </c>
      <c r="G146" s="74"/>
      <c r="H146" s="75">
        <f t="shared" si="18"/>
        <v>2</v>
      </c>
      <c r="I146" s="16" t="str">
        <f t="shared" si="19"/>
        <v>Estela BARANAUSKIENĖ</v>
      </c>
      <c r="J146" s="76" t="str">
        <f t="shared" si="20"/>
        <v>B|YIT LIETUVA|2</v>
      </c>
      <c r="K146" s="77" t="str">
        <f t="shared" si="21"/>
        <v/>
      </c>
      <c r="L146" s="78" t="str">
        <f t="shared" si="22"/>
        <v/>
      </c>
      <c r="M146" s="4"/>
      <c r="N146" s="79">
        <f>IF(OR($A146="",$B146=""),0,IF(COUNTIFS($A$5:$A146,$A146,$B$5:$B146,$B146)=1,1,0))</f>
        <v>0</v>
      </c>
      <c r="O146" s="79" t="str">
        <f t="shared" si="23"/>
        <v/>
      </c>
      <c r="P146" s="79" t="str">
        <f t="shared" si="24"/>
        <v/>
      </c>
      <c r="AL146" s="89" t="str">
        <f t="shared" ca="1" si="25"/>
        <v>ADMIN_Duomenys!$Y$5:$Y$18</v>
      </c>
    </row>
    <row r="147" spans="1:38" x14ac:dyDescent="0.3">
      <c r="A147" s="70" t="s">
        <v>252</v>
      </c>
      <c r="B147" s="71" t="s">
        <v>406</v>
      </c>
      <c r="C147" s="71" t="s">
        <v>412</v>
      </c>
      <c r="D147" s="71" t="s">
        <v>413</v>
      </c>
      <c r="E147" s="72">
        <v>0</v>
      </c>
      <c r="F147" s="73" t="s">
        <v>268</v>
      </c>
      <c r="G147" s="74"/>
      <c r="H147" s="75">
        <f t="shared" si="18"/>
        <v>4</v>
      </c>
      <c r="I147" s="16" t="str">
        <f t="shared" si="19"/>
        <v>Robert CHODOROWSKI</v>
      </c>
      <c r="J147" s="76" t="str">
        <f t="shared" si="20"/>
        <v>B|YIT LIETUVA|4</v>
      </c>
      <c r="K147" s="77" t="str">
        <f t="shared" si="21"/>
        <v/>
      </c>
      <c r="L147" s="78" t="str">
        <f t="shared" si="22"/>
        <v/>
      </c>
      <c r="M147" s="4"/>
      <c r="N147" s="79">
        <f>IF(OR($A147="",$B147=""),0,IF(COUNTIFS($A$5:$A147,$A147,$B$5:$B147,$B147)=1,1,0))</f>
        <v>0</v>
      </c>
      <c r="O147" s="79" t="str">
        <f t="shared" si="23"/>
        <v/>
      </c>
      <c r="P147" s="79" t="str">
        <f t="shared" si="24"/>
        <v/>
      </c>
      <c r="AL147" s="89" t="str">
        <f t="shared" ca="1" si="25"/>
        <v>ADMIN_Duomenys!$Y$5:$Y$18</v>
      </c>
    </row>
    <row r="148" spans="1:38" x14ac:dyDescent="0.3">
      <c r="A148" s="70" t="s">
        <v>252</v>
      </c>
      <c r="B148" s="71" t="s">
        <v>406</v>
      </c>
      <c r="C148" s="71" t="s">
        <v>414</v>
      </c>
      <c r="D148" s="71" t="s">
        <v>415</v>
      </c>
      <c r="E148" s="72">
        <v>0</v>
      </c>
      <c r="F148" s="73" t="s">
        <v>268</v>
      </c>
      <c r="G148" s="74"/>
      <c r="H148" s="75">
        <f t="shared" si="18"/>
        <v>3</v>
      </c>
      <c r="I148" s="16" t="str">
        <f t="shared" si="19"/>
        <v>Gintautas RAUDYS</v>
      </c>
      <c r="J148" s="76" t="str">
        <f t="shared" si="20"/>
        <v>B|YIT LIETUVA|3</v>
      </c>
      <c r="K148" s="77" t="str">
        <f t="shared" si="21"/>
        <v/>
      </c>
      <c r="L148" s="78" t="str">
        <f t="shared" si="22"/>
        <v/>
      </c>
      <c r="M148" s="4"/>
      <c r="N148" s="79">
        <f>IF(OR($A148="",$B148=""),0,IF(COUNTIFS($A$5:$A148,$A148,$B$5:$B148,$B148)=1,1,0))</f>
        <v>0</v>
      </c>
      <c r="O148" s="79" t="str">
        <f t="shared" si="23"/>
        <v/>
      </c>
      <c r="P148" s="79" t="str">
        <f t="shared" si="24"/>
        <v/>
      </c>
      <c r="AL148" s="89" t="str">
        <f t="shared" ca="1" si="25"/>
        <v>ADMIN_Duomenys!$Y$5:$Y$18</v>
      </c>
    </row>
    <row r="149" spans="1:38" x14ac:dyDescent="0.3">
      <c r="A149" s="70" t="s">
        <v>252</v>
      </c>
      <c r="B149" s="71" t="s">
        <v>406</v>
      </c>
      <c r="C149" s="71" t="s">
        <v>178</v>
      </c>
      <c r="D149" s="71" t="s">
        <v>416</v>
      </c>
      <c r="E149" s="72">
        <v>0</v>
      </c>
      <c r="F149" s="73" t="s">
        <v>268</v>
      </c>
      <c r="G149" s="74"/>
      <c r="H149" s="75">
        <f t="shared" si="18"/>
        <v>5</v>
      </c>
      <c r="I149" s="16" t="str">
        <f t="shared" si="19"/>
        <v>Tomas RIMKUS</v>
      </c>
      <c r="J149" s="76" t="str">
        <f t="shared" si="20"/>
        <v>B|YIT LIETUVA|5</v>
      </c>
      <c r="K149" s="77" t="str">
        <f t="shared" si="21"/>
        <v/>
      </c>
      <c r="L149" s="78" t="str">
        <f t="shared" si="22"/>
        <v/>
      </c>
      <c r="M149" s="4"/>
      <c r="N149" s="79">
        <f>IF(OR($A149="",$B149=""),0,IF(COUNTIFS($A$5:$A149,$A149,$B$5:$B149,$B149)=1,1,0))</f>
        <v>0</v>
      </c>
      <c r="O149" s="79" t="str">
        <f t="shared" si="23"/>
        <v/>
      </c>
      <c r="P149" s="79" t="str">
        <f t="shared" si="24"/>
        <v/>
      </c>
      <c r="AL149" s="89" t="str">
        <f t="shared" ca="1" si="25"/>
        <v>ADMIN_Duomenys!$Y$5:$Y$18</v>
      </c>
    </row>
    <row r="150" spans="1:38" x14ac:dyDescent="0.3">
      <c r="A150" s="70" t="s">
        <v>417</v>
      </c>
      <c r="B150" s="71" t="s">
        <v>418</v>
      </c>
      <c r="C150" s="71" t="s">
        <v>419</v>
      </c>
      <c r="D150" s="71" t="s">
        <v>420</v>
      </c>
      <c r="E150" s="72">
        <v>0</v>
      </c>
      <c r="F150" s="73" t="s">
        <v>268</v>
      </c>
      <c r="G150" s="74"/>
      <c r="H150" s="75">
        <f t="shared" si="18"/>
        <v>5</v>
      </c>
      <c r="I150" s="16" t="str">
        <f t="shared" si="19"/>
        <v>Ramūnas ALEKSANDRAVIČIUS</v>
      </c>
      <c r="J150" s="76" t="str">
        <f t="shared" si="20"/>
        <v>C|AMBER STRIKE|5</v>
      </c>
      <c r="K150" s="77" t="str">
        <f t="shared" si="21"/>
        <v/>
      </c>
      <c r="L150" s="78" t="str">
        <f t="shared" si="22"/>
        <v/>
      </c>
      <c r="M150" s="4"/>
      <c r="N150" s="79">
        <f>IF(OR($A150="",$B150=""),0,IF(COUNTIFS($A$5:$A150,$A150,$B$5:$B150,$B150)=1,1,0))</f>
        <v>1</v>
      </c>
      <c r="O150" s="79">
        <f t="shared" si="23"/>
        <v>1</v>
      </c>
      <c r="P150" s="79" t="str">
        <f t="shared" si="24"/>
        <v/>
      </c>
      <c r="AL150" s="89" t="str">
        <f t="shared" ca="1" si="25"/>
        <v>ADMIN_Duomenys!$AA$5:$AA$16</v>
      </c>
    </row>
    <row r="151" spans="1:38" x14ac:dyDescent="0.3">
      <c r="A151" s="70" t="s">
        <v>417</v>
      </c>
      <c r="B151" s="71" t="s">
        <v>418</v>
      </c>
      <c r="C151" s="71" t="s">
        <v>421</v>
      </c>
      <c r="D151" s="71" t="s">
        <v>422</v>
      </c>
      <c r="E151" s="72">
        <v>0</v>
      </c>
      <c r="F151" s="73" t="s">
        <v>268</v>
      </c>
      <c r="G151" s="74"/>
      <c r="H151" s="75">
        <f t="shared" si="18"/>
        <v>1</v>
      </c>
      <c r="I151" s="16" t="str">
        <f t="shared" si="19"/>
        <v>Pavel GRITSKEVICH</v>
      </c>
      <c r="J151" s="76" t="str">
        <f t="shared" si="20"/>
        <v>C|AMBER STRIKE|1</v>
      </c>
      <c r="K151" s="77" t="str">
        <f t="shared" si="21"/>
        <v/>
      </c>
      <c r="L151" s="78" t="str">
        <f t="shared" si="22"/>
        <v/>
      </c>
      <c r="M151" s="4"/>
      <c r="N151" s="79">
        <f>IF(OR($A151="",$B151=""),0,IF(COUNTIFS($A$5:$A151,$A151,$B$5:$B151,$B151)=1,1,0))</f>
        <v>0</v>
      </c>
      <c r="O151" s="79" t="str">
        <f t="shared" si="23"/>
        <v/>
      </c>
      <c r="P151" s="79" t="str">
        <f t="shared" si="24"/>
        <v/>
      </c>
      <c r="AL151" s="89" t="str">
        <f t="shared" ca="1" si="25"/>
        <v>ADMIN_Duomenys!$AA$5:$AA$16</v>
      </c>
    </row>
    <row r="152" spans="1:38" x14ac:dyDescent="0.3">
      <c r="A152" s="70" t="s">
        <v>417</v>
      </c>
      <c r="B152" s="71" t="s">
        <v>418</v>
      </c>
      <c r="C152" s="71" t="s">
        <v>423</v>
      </c>
      <c r="D152" s="71" t="s">
        <v>424</v>
      </c>
      <c r="E152" s="72">
        <v>5</v>
      </c>
      <c r="F152" s="73" t="s">
        <v>268</v>
      </c>
      <c r="G152" s="74"/>
      <c r="H152" s="75">
        <f t="shared" si="18"/>
        <v>6</v>
      </c>
      <c r="I152" s="16" t="str">
        <f t="shared" si="19"/>
        <v>Toimofej MURAVJOV</v>
      </c>
      <c r="J152" s="76" t="str">
        <f t="shared" si="20"/>
        <v>C|AMBER STRIKE|6</v>
      </c>
      <c r="K152" s="77" t="str">
        <f t="shared" si="21"/>
        <v/>
      </c>
      <c r="L152" s="78" t="str">
        <f t="shared" si="22"/>
        <v/>
      </c>
      <c r="M152" s="4"/>
      <c r="N152" s="79">
        <f>IF(OR($A152="",$B152=""),0,IF(COUNTIFS($A$5:$A152,$A152,$B$5:$B152,$B152)=1,1,0))</f>
        <v>0</v>
      </c>
      <c r="O152" s="79" t="str">
        <f t="shared" si="23"/>
        <v/>
      </c>
      <c r="P152" s="79" t="str">
        <f t="shared" si="24"/>
        <v/>
      </c>
      <c r="AL152" s="89" t="str">
        <f t="shared" ca="1" si="25"/>
        <v>ADMIN_Duomenys!$AA$5:$AA$16</v>
      </c>
    </row>
    <row r="153" spans="1:38" x14ac:dyDescent="0.3">
      <c r="A153" s="70" t="s">
        <v>417</v>
      </c>
      <c r="B153" s="71" t="s">
        <v>418</v>
      </c>
      <c r="C153" s="71" t="s">
        <v>425</v>
      </c>
      <c r="D153" s="71" t="s">
        <v>165</v>
      </c>
      <c r="E153" s="72">
        <v>0</v>
      </c>
      <c r="F153" s="73" t="s">
        <v>268</v>
      </c>
      <c r="G153" s="74"/>
      <c r="H153" s="75">
        <f t="shared" si="18"/>
        <v>7</v>
      </c>
      <c r="I153" s="16" t="str">
        <f t="shared" si="19"/>
        <v>Valerijus PERMINAS</v>
      </c>
      <c r="J153" s="76" t="str">
        <f t="shared" si="20"/>
        <v>C|AMBER STRIKE|7</v>
      </c>
      <c r="K153" s="77" t="str">
        <f t="shared" si="21"/>
        <v/>
      </c>
      <c r="L153" s="78" t="str">
        <f t="shared" si="22"/>
        <v/>
      </c>
      <c r="M153" s="4"/>
      <c r="N153" s="79">
        <f>IF(OR($A153="",$B153=""),0,IF(COUNTIFS($A$5:$A153,$A153,$B$5:$B153,$B153)=1,1,0))</f>
        <v>0</v>
      </c>
      <c r="O153" s="79" t="str">
        <f t="shared" si="23"/>
        <v/>
      </c>
      <c r="P153" s="79" t="str">
        <f t="shared" si="24"/>
        <v/>
      </c>
      <c r="AL153" s="89" t="str">
        <f t="shared" ca="1" si="25"/>
        <v>ADMIN_Duomenys!$AA$5:$AA$16</v>
      </c>
    </row>
    <row r="154" spans="1:38" x14ac:dyDescent="0.3">
      <c r="A154" s="70" t="s">
        <v>417</v>
      </c>
      <c r="B154" s="71" t="s">
        <v>418</v>
      </c>
      <c r="C154" s="71" t="s">
        <v>249</v>
      </c>
      <c r="D154" s="71" t="s">
        <v>426</v>
      </c>
      <c r="E154" s="72">
        <v>0</v>
      </c>
      <c r="F154" s="73" t="s">
        <v>268</v>
      </c>
      <c r="G154" s="74"/>
      <c r="H154" s="75">
        <f t="shared" si="18"/>
        <v>3</v>
      </c>
      <c r="I154" s="16" t="str">
        <f t="shared" si="19"/>
        <v>Raimondas RAMANAUSKAS</v>
      </c>
      <c r="J154" s="76" t="str">
        <f t="shared" si="20"/>
        <v>C|AMBER STRIKE|3</v>
      </c>
      <c r="K154" s="77" t="str">
        <f t="shared" si="21"/>
        <v/>
      </c>
      <c r="L154" s="78" t="str">
        <f t="shared" si="22"/>
        <v/>
      </c>
      <c r="M154" s="4"/>
      <c r="N154" s="79">
        <f>IF(OR($A154="",$B154=""),0,IF(COUNTIFS($A$5:$A154,$A154,$B$5:$B154,$B154)=1,1,0))</f>
        <v>0</v>
      </c>
      <c r="O154" s="79" t="str">
        <f t="shared" si="23"/>
        <v/>
      </c>
      <c r="P154" s="79" t="str">
        <f t="shared" si="24"/>
        <v/>
      </c>
      <c r="AL154" s="89" t="str">
        <f t="shared" ca="1" si="25"/>
        <v>ADMIN_Duomenys!$AA$5:$AA$16</v>
      </c>
    </row>
    <row r="155" spans="1:38" x14ac:dyDescent="0.3">
      <c r="A155" s="70" t="s">
        <v>417</v>
      </c>
      <c r="B155" s="71" t="s">
        <v>418</v>
      </c>
      <c r="C155" s="71" t="s">
        <v>249</v>
      </c>
      <c r="D155" s="71" t="s">
        <v>427</v>
      </c>
      <c r="E155" s="72">
        <v>0</v>
      </c>
      <c r="F155" s="73" t="s">
        <v>268</v>
      </c>
      <c r="G155" s="74"/>
      <c r="H155" s="75">
        <f t="shared" si="18"/>
        <v>4</v>
      </c>
      <c r="I155" s="16" t="str">
        <f t="shared" si="19"/>
        <v>Raimondas SIMANAUSKAS</v>
      </c>
      <c r="J155" s="76" t="str">
        <f t="shared" si="20"/>
        <v>C|AMBER STRIKE|4</v>
      </c>
      <c r="K155" s="77" t="str">
        <f t="shared" si="21"/>
        <v/>
      </c>
      <c r="L155" s="78" t="str">
        <f t="shared" si="22"/>
        <v/>
      </c>
      <c r="M155" s="4"/>
      <c r="N155" s="79">
        <f>IF(OR($A155="",$B155=""),0,IF(COUNTIFS($A$5:$A155,$A155,$B$5:$B155,$B155)=1,1,0))</f>
        <v>0</v>
      </c>
      <c r="O155" s="79" t="str">
        <f t="shared" si="23"/>
        <v/>
      </c>
      <c r="P155" s="79" t="str">
        <f t="shared" si="24"/>
        <v/>
      </c>
      <c r="AL155" s="89" t="str">
        <f t="shared" ca="1" si="25"/>
        <v>ADMIN_Duomenys!$AA$5:$AA$16</v>
      </c>
    </row>
    <row r="156" spans="1:38" x14ac:dyDescent="0.3">
      <c r="A156" s="70" t="s">
        <v>417</v>
      </c>
      <c r="B156" s="71" t="s">
        <v>418</v>
      </c>
      <c r="C156" s="71" t="s">
        <v>421</v>
      </c>
      <c r="D156" s="71" t="s">
        <v>428</v>
      </c>
      <c r="E156" s="72">
        <v>0</v>
      </c>
      <c r="F156" s="73" t="s">
        <v>268</v>
      </c>
      <c r="G156" s="74"/>
      <c r="H156" s="75">
        <f t="shared" si="18"/>
        <v>2</v>
      </c>
      <c r="I156" s="16" t="str">
        <f t="shared" si="19"/>
        <v>Pavel ŠPAK</v>
      </c>
      <c r="J156" s="76" t="str">
        <f t="shared" si="20"/>
        <v>C|AMBER STRIKE|2</v>
      </c>
      <c r="K156" s="77" t="str">
        <f t="shared" si="21"/>
        <v/>
      </c>
      <c r="L156" s="78" t="str">
        <f t="shared" si="22"/>
        <v/>
      </c>
      <c r="M156" s="4"/>
      <c r="N156" s="79">
        <f>IF(OR($A156="",$B156=""),0,IF(COUNTIFS($A$5:$A156,$A156,$B$5:$B156,$B156)=1,1,0))</f>
        <v>0</v>
      </c>
      <c r="O156" s="79" t="str">
        <f t="shared" si="23"/>
        <v/>
      </c>
      <c r="P156" s="79" t="str">
        <f t="shared" si="24"/>
        <v/>
      </c>
      <c r="AL156" s="89" t="str">
        <f t="shared" ca="1" si="25"/>
        <v>ADMIN_Duomenys!$AA$5:$AA$16</v>
      </c>
    </row>
    <row r="157" spans="1:38" x14ac:dyDescent="0.3">
      <c r="A157" s="70" t="s">
        <v>417</v>
      </c>
      <c r="B157" s="71" t="s">
        <v>429</v>
      </c>
      <c r="C157" s="71" t="s">
        <v>183</v>
      </c>
      <c r="D157" s="71" t="s">
        <v>430</v>
      </c>
      <c r="E157" s="72">
        <v>0</v>
      </c>
      <c r="F157" s="73" t="s">
        <v>256</v>
      </c>
      <c r="G157" s="74"/>
      <c r="H157" s="75">
        <f t="shared" si="18"/>
        <v>5</v>
      </c>
      <c r="I157" s="16" t="str">
        <f t="shared" si="19"/>
        <v>Justas ABARAVIČIUS</v>
      </c>
      <c r="J157" s="76" t="str">
        <f t="shared" si="20"/>
        <v>C|BOWLING STONES|5</v>
      </c>
      <c r="K157" s="77" t="str">
        <f t="shared" si="21"/>
        <v/>
      </c>
      <c r="L157" s="78" t="str">
        <f t="shared" si="22"/>
        <v/>
      </c>
      <c r="M157" s="4"/>
      <c r="N157" s="79">
        <f>IF(OR($A157="",$B157=""),0,IF(COUNTIFS($A$5:$A157,$A157,$B$5:$B157,$B157)=1,1,0))</f>
        <v>1</v>
      </c>
      <c r="O157" s="79">
        <f t="shared" si="23"/>
        <v>2</v>
      </c>
      <c r="P157" s="79" t="str">
        <f t="shared" si="24"/>
        <v/>
      </c>
      <c r="AL157" s="89" t="str">
        <f t="shared" ca="1" si="25"/>
        <v>ADMIN_Duomenys!$AA$5:$AA$16</v>
      </c>
    </row>
    <row r="158" spans="1:38" x14ac:dyDescent="0.3">
      <c r="A158" s="70" t="s">
        <v>417</v>
      </c>
      <c r="B158" s="71" t="s">
        <v>429</v>
      </c>
      <c r="C158" s="71" t="s">
        <v>431</v>
      </c>
      <c r="D158" s="71" t="s">
        <v>432</v>
      </c>
      <c r="E158" s="72">
        <v>0</v>
      </c>
      <c r="F158" s="73" t="s">
        <v>256</v>
      </c>
      <c r="G158" s="74"/>
      <c r="H158" s="75">
        <f t="shared" si="18"/>
        <v>3</v>
      </c>
      <c r="I158" s="16" t="str">
        <f t="shared" si="19"/>
        <v>Eimantas DAUNORAS</v>
      </c>
      <c r="J158" s="76" t="str">
        <f t="shared" si="20"/>
        <v>C|BOWLING STONES|3</v>
      </c>
      <c r="K158" s="77" t="str">
        <f t="shared" si="21"/>
        <v/>
      </c>
      <c r="L158" s="78" t="str">
        <f t="shared" si="22"/>
        <v/>
      </c>
      <c r="M158" s="4"/>
      <c r="N158" s="79">
        <f>IF(OR($A158="",$B158=""),0,IF(COUNTIFS($A$5:$A158,$A158,$B$5:$B158,$B158)=1,1,0))</f>
        <v>0</v>
      </c>
      <c r="O158" s="79" t="str">
        <f t="shared" si="23"/>
        <v/>
      </c>
      <c r="P158" s="79" t="str">
        <f t="shared" si="24"/>
        <v/>
      </c>
      <c r="AL158" s="89" t="str">
        <f t="shared" ca="1" si="25"/>
        <v>ADMIN_Duomenys!$AA$5:$AA$16</v>
      </c>
    </row>
    <row r="159" spans="1:38" x14ac:dyDescent="0.3">
      <c r="A159" s="70" t="s">
        <v>417</v>
      </c>
      <c r="B159" s="71" t="s">
        <v>429</v>
      </c>
      <c r="C159" s="71" t="s">
        <v>433</v>
      </c>
      <c r="D159" s="71" t="s">
        <v>434</v>
      </c>
      <c r="E159" s="72">
        <v>10</v>
      </c>
      <c r="F159" s="73" t="s">
        <v>256</v>
      </c>
      <c r="G159" s="74"/>
      <c r="H159" s="75">
        <f t="shared" si="18"/>
        <v>4</v>
      </c>
      <c r="I159" s="16" t="str">
        <f t="shared" si="19"/>
        <v>Josifas GIGEVIČIUS</v>
      </c>
      <c r="J159" s="76" t="str">
        <f t="shared" si="20"/>
        <v>C|BOWLING STONES|4</v>
      </c>
      <c r="K159" s="77" t="str">
        <f t="shared" si="21"/>
        <v/>
      </c>
      <c r="L159" s="78" t="str">
        <f t="shared" si="22"/>
        <v/>
      </c>
      <c r="M159" s="4"/>
      <c r="N159" s="79">
        <f>IF(OR($A159="",$B159=""),0,IF(COUNTIFS($A$5:$A159,$A159,$B$5:$B159,$B159)=1,1,0))</f>
        <v>0</v>
      </c>
      <c r="O159" s="79" t="str">
        <f t="shared" si="23"/>
        <v/>
      </c>
      <c r="P159" s="79" t="str">
        <f t="shared" si="24"/>
        <v/>
      </c>
      <c r="AL159" s="89" t="str">
        <f t="shared" ca="1" si="25"/>
        <v>ADMIN_Duomenys!$AA$5:$AA$16</v>
      </c>
    </row>
    <row r="160" spans="1:38" x14ac:dyDescent="0.3">
      <c r="A160" s="70" t="s">
        <v>417</v>
      </c>
      <c r="B160" s="71" t="s">
        <v>429</v>
      </c>
      <c r="C160" s="71" t="s">
        <v>144</v>
      </c>
      <c r="D160" s="71" t="s">
        <v>435</v>
      </c>
      <c r="E160" s="72">
        <v>0</v>
      </c>
      <c r="F160" s="73" t="s">
        <v>256</v>
      </c>
      <c r="G160" s="74"/>
      <c r="H160" s="75">
        <f t="shared" si="18"/>
        <v>2</v>
      </c>
      <c r="I160" s="16" t="str">
        <f t="shared" si="19"/>
        <v>Artūras KIRKLYS</v>
      </c>
      <c r="J160" s="76" t="str">
        <f t="shared" si="20"/>
        <v>C|BOWLING STONES|2</v>
      </c>
      <c r="K160" s="77" t="str">
        <f t="shared" si="21"/>
        <v/>
      </c>
      <c r="L160" s="78" t="str">
        <f t="shared" si="22"/>
        <v/>
      </c>
      <c r="M160" s="4"/>
      <c r="N160" s="79">
        <f>IF(OR($A160="",$B160=""),0,IF(COUNTIFS($A$5:$A160,$A160,$B$5:$B160,$B160)=1,1,0))</f>
        <v>0</v>
      </c>
      <c r="O160" s="79" t="str">
        <f t="shared" si="23"/>
        <v/>
      </c>
      <c r="P160" s="79" t="str">
        <f t="shared" si="24"/>
        <v/>
      </c>
      <c r="AL160" s="89" t="str">
        <f t="shared" ca="1" si="25"/>
        <v>ADMIN_Duomenys!$AA$5:$AA$16</v>
      </c>
    </row>
    <row r="161" spans="1:38" x14ac:dyDescent="0.3">
      <c r="A161" s="70" t="s">
        <v>417</v>
      </c>
      <c r="B161" s="71" t="s">
        <v>429</v>
      </c>
      <c r="C161" s="71" t="s">
        <v>436</v>
      </c>
      <c r="D161" s="71" t="s">
        <v>437</v>
      </c>
      <c r="E161" s="72">
        <v>0</v>
      </c>
      <c r="F161" s="73" t="s">
        <v>256</v>
      </c>
      <c r="G161" s="74"/>
      <c r="H161" s="75">
        <f t="shared" si="18"/>
        <v>1</v>
      </c>
      <c r="I161" s="16" t="str">
        <f t="shared" si="19"/>
        <v>Andrej MACIJEVSKI</v>
      </c>
      <c r="J161" s="76" t="str">
        <f t="shared" si="20"/>
        <v>C|BOWLING STONES|1</v>
      </c>
      <c r="K161" s="77" t="str">
        <f t="shared" si="21"/>
        <v/>
      </c>
      <c r="L161" s="78" t="str">
        <f t="shared" si="22"/>
        <v/>
      </c>
      <c r="M161" s="4"/>
      <c r="N161" s="79">
        <f>IF(OR($A161="",$B161=""),0,IF(COUNTIFS($A$5:$A161,$A161,$B$5:$B161,$B161)=1,1,0))</f>
        <v>0</v>
      </c>
      <c r="O161" s="79" t="str">
        <f t="shared" si="23"/>
        <v/>
      </c>
      <c r="P161" s="79" t="str">
        <f t="shared" si="24"/>
        <v/>
      </c>
      <c r="AL161" s="89" t="str">
        <f t="shared" ca="1" si="25"/>
        <v>ADMIN_Duomenys!$AA$5:$AA$16</v>
      </c>
    </row>
    <row r="162" spans="1:38" x14ac:dyDescent="0.3">
      <c r="A162" s="70" t="s">
        <v>417</v>
      </c>
      <c r="B162" s="71" t="s">
        <v>429</v>
      </c>
      <c r="C162" s="71" t="s">
        <v>421</v>
      </c>
      <c r="D162" s="71" t="s">
        <v>437</v>
      </c>
      <c r="E162" s="72">
        <v>0</v>
      </c>
      <c r="F162" s="73" t="s">
        <v>256</v>
      </c>
      <c r="G162" s="74"/>
      <c r="H162" s="75">
        <f t="shared" si="18"/>
        <v>6</v>
      </c>
      <c r="I162" s="16" t="str">
        <f t="shared" si="19"/>
        <v>Pavel MACIJEVSKI</v>
      </c>
      <c r="J162" s="76" t="str">
        <f t="shared" si="20"/>
        <v>C|BOWLING STONES|6</v>
      </c>
      <c r="K162" s="77" t="str">
        <f t="shared" si="21"/>
        <v/>
      </c>
      <c r="L162" s="78" t="str">
        <f t="shared" si="22"/>
        <v/>
      </c>
      <c r="M162" s="4"/>
      <c r="N162" s="79">
        <f>IF(OR($A162="",$B162=""),0,IF(COUNTIFS($A$5:$A162,$A162,$B$5:$B162,$B162)=1,1,0))</f>
        <v>0</v>
      </c>
      <c r="O162" s="79" t="str">
        <f t="shared" si="23"/>
        <v/>
      </c>
      <c r="P162" s="79" t="str">
        <f t="shared" si="24"/>
        <v/>
      </c>
      <c r="AL162" s="89" t="str">
        <f t="shared" ca="1" si="25"/>
        <v>ADMIN_Duomenys!$AA$5:$AA$16</v>
      </c>
    </row>
    <row r="163" spans="1:38" x14ac:dyDescent="0.3">
      <c r="A163" s="70" t="s">
        <v>417</v>
      </c>
      <c r="B163" s="71" t="s">
        <v>429</v>
      </c>
      <c r="C163" s="71" t="s">
        <v>400</v>
      </c>
      <c r="D163" s="71" t="s">
        <v>438</v>
      </c>
      <c r="E163" s="72">
        <v>0</v>
      </c>
      <c r="F163" s="73" t="s">
        <v>256</v>
      </c>
      <c r="G163" s="74"/>
      <c r="H163" s="75">
        <f t="shared" si="18"/>
        <v>7</v>
      </c>
      <c r="I163" s="16" t="str">
        <f t="shared" si="19"/>
        <v>Vladas REMEIKA</v>
      </c>
      <c r="J163" s="76" t="str">
        <f t="shared" si="20"/>
        <v>C|BOWLING STONES|7</v>
      </c>
      <c r="K163" s="77" t="str">
        <f t="shared" si="21"/>
        <v/>
      </c>
      <c r="L163" s="78" t="str">
        <f t="shared" si="22"/>
        <v/>
      </c>
      <c r="M163" s="4"/>
      <c r="N163" s="79">
        <f>IF(OR($A163="",$B163=""),0,IF(COUNTIFS($A$5:$A163,$A163,$B$5:$B163,$B163)=1,1,0))</f>
        <v>0</v>
      </c>
      <c r="O163" s="79" t="str">
        <f t="shared" si="23"/>
        <v/>
      </c>
      <c r="P163" s="79" t="str">
        <f t="shared" si="24"/>
        <v/>
      </c>
      <c r="AL163" s="89" t="str">
        <f t="shared" ca="1" si="25"/>
        <v>ADMIN_Duomenys!$AA$5:$AA$16</v>
      </c>
    </row>
    <row r="164" spans="1:38" x14ac:dyDescent="0.3">
      <c r="A164" s="70" t="s">
        <v>417</v>
      </c>
      <c r="B164" s="71" t="s">
        <v>439</v>
      </c>
      <c r="C164" s="71" t="s">
        <v>440</v>
      </c>
      <c r="D164" s="71" t="s">
        <v>441</v>
      </c>
      <c r="E164" s="72">
        <v>18</v>
      </c>
      <c r="F164" s="73" t="s">
        <v>256</v>
      </c>
      <c r="G164" s="74"/>
      <c r="H164" s="75">
        <f t="shared" si="18"/>
        <v>2</v>
      </c>
      <c r="I164" s="16" t="str">
        <f t="shared" si="19"/>
        <v>Aurelija KETURKAITĖ</v>
      </c>
      <c r="J164" s="76" t="str">
        <f t="shared" si="20"/>
        <v>C|E.L.A.D.A.|2</v>
      </c>
      <c r="K164" s="77" t="str">
        <f t="shared" si="21"/>
        <v/>
      </c>
      <c r="L164" s="78" t="str">
        <f t="shared" si="22"/>
        <v/>
      </c>
      <c r="M164" s="4"/>
      <c r="N164" s="79">
        <f>IF(OR($A164="",$B164=""),0,IF(COUNTIFS($A$5:$A164,$A164,$B$5:$B164,$B164)=1,1,0))</f>
        <v>1</v>
      </c>
      <c r="O164" s="79">
        <f t="shared" si="23"/>
        <v>3</v>
      </c>
      <c r="P164" s="79" t="str">
        <f t="shared" si="24"/>
        <v/>
      </c>
      <c r="AL164" s="89" t="str">
        <f t="shared" ca="1" si="25"/>
        <v>ADMIN_Duomenys!$AA$5:$AA$16</v>
      </c>
    </row>
    <row r="165" spans="1:38" x14ac:dyDescent="0.3">
      <c r="A165" s="70" t="s">
        <v>417</v>
      </c>
      <c r="B165" s="71" t="s">
        <v>439</v>
      </c>
      <c r="C165" s="71" t="s">
        <v>442</v>
      </c>
      <c r="D165" s="71" t="s">
        <v>443</v>
      </c>
      <c r="E165" s="72">
        <v>18</v>
      </c>
      <c r="F165" s="73" t="s">
        <v>256</v>
      </c>
      <c r="G165" s="74"/>
      <c r="H165" s="75">
        <f t="shared" si="18"/>
        <v>3</v>
      </c>
      <c r="I165" s="16" t="str">
        <f t="shared" si="19"/>
        <v>Danutė LEVANDAVIČIENĖ</v>
      </c>
      <c r="J165" s="76" t="str">
        <f t="shared" si="20"/>
        <v>C|E.L.A.D.A.|3</v>
      </c>
      <c r="K165" s="77" t="str">
        <f t="shared" si="21"/>
        <v/>
      </c>
      <c r="L165" s="78" t="str">
        <f t="shared" si="22"/>
        <v/>
      </c>
      <c r="M165" s="4"/>
      <c r="N165" s="79">
        <f>IF(OR($A165="",$B165=""),0,IF(COUNTIFS($A$5:$A165,$A165,$B$5:$B165,$B165)=1,1,0))</f>
        <v>0</v>
      </c>
      <c r="O165" s="79" t="str">
        <f t="shared" si="23"/>
        <v/>
      </c>
      <c r="P165" s="79" t="str">
        <f t="shared" si="24"/>
        <v/>
      </c>
      <c r="AL165" s="89" t="str">
        <f t="shared" ca="1" si="25"/>
        <v>ADMIN_Duomenys!$AA$5:$AA$16</v>
      </c>
    </row>
    <row r="166" spans="1:38" x14ac:dyDescent="0.3">
      <c r="A166" s="70" t="s">
        <v>417</v>
      </c>
      <c r="B166" s="71" t="s">
        <v>439</v>
      </c>
      <c r="C166" s="71" t="s">
        <v>444</v>
      </c>
      <c r="D166" s="71" t="s">
        <v>445</v>
      </c>
      <c r="E166" s="72">
        <v>10</v>
      </c>
      <c r="F166" s="73" t="s">
        <v>256</v>
      </c>
      <c r="G166" s="74"/>
      <c r="H166" s="75">
        <f t="shared" si="18"/>
        <v>4</v>
      </c>
      <c r="I166" s="16" t="str">
        <f t="shared" si="19"/>
        <v>Edmundas LEVANDAVIČIUS</v>
      </c>
      <c r="J166" s="76" t="str">
        <f t="shared" si="20"/>
        <v>C|E.L.A.D.A.|4</v>
      </c>
      <c r="K166" s="77" t="str">
        <f t="shared" si="21"/>
        <v/>
      </c>
      <c r="L166" s="78" t="str">
        <f t="shared" si="22"/>
        <v/>
      </c>
      <c r="M166" s="4"/>
      <c r="N166" s="79">
        <f>IF(OR($A166="",$B166=""),0,IF(COUNTIFS($A$5:$A166,$A166,$B$5:$B166,$B166)=1,1,0))</f>
        <v>0</v>
      </c>
      <c r="O166" s="79" t="str">
        <f t="shared" si="23"/>
        <v/>
      </c>
      <c r="P166" s="79" t="str">
        <f t="shared" si="24"/>
        <v/>
      </c>
      <c r="AL166" s="89" t="str">
        <f t="shared" ca="1" si="25"/>
        <v>ADMIN_Duomenys!$AA$5:$AA$16</v>
      </c>
    </row>
    <row r="167" spans="1:38" x14ac:dyDescent="0.3">
      <c r="A167" s="70" t="s">
        <v>417</v>
      </c>
      <c r="B167" s="71" t="s">
        <v>439</v>
      </c>
      <c r="C167" s="71" t="s">
        <v>447</v>
      </c>
      <c r="D167" s="71" t="s">
        <v>448</v>
      </c>
      <c r="E167" s="72">
        <v>0</v>
      </c>
      <c r="F167" s="73" t="s">
        <v>256</v>
      </c>
      <c r="G167" s="74"/>
      <c r="H167" s="75">
        <f t="shared" si="18"/>
        <v>6</v>
      </c>
      <c r="I167" s="16" t="str">
        <f t="shared" si="19"/>
        <v>Michail STOROŽEV</v>
      </c>
      <c r="J167" s="76" t="str">
        <f t="shared" si="20"/>
        <v>C|E.L.A.D.A.|6</v>
      </c>
      <c r="K167" s="77" t="str">
        <f t="shared" si="21"/>
        <v/>
      </c>
      <c r="L167" s="78" t="str">
        <f t="shared" si="22"/>
        <v/>
      </c>
      <c r="M167" s="4"/>
      <c r="N167" s="79">
        <f>IF(OR($A167="",$B167=""),0,IF(COUNTIFS($A$5:$A167,$A167,$B$5:$B167,$B167)=1,1,0))</f>
        <v>0</v>
      </c>
      <c r="O167" s="79" t="str">
        <f t="shared" si="23"/>
        <v/>
      </c>
      <c r="P167" s="79" t="str">
        <f t="shared" si="24"/>
        <v/>
      </c>
      <c r="AL167" s="89" t="str">
        <f t="shared" ca="1" si="25"/>
        <v>ADMIN_Duomenys!$AA$5:$AA$16</v>
      </c>
    </row>
    <row r="168" spans="1:38" x14ac:dyDescent="0.3">
      <c r="A168" s="70" t="s">
        <v>417</v>
      </c>
      <c r="B168" s="71" t="s">
        <v>439</v>
      </c>
      <c r="C168" s="71" t="s">
        <v>263</v>
      </c>
      <c r="D168" s="71" t="s">
        <v>446</v>
      </c>
      <c r="E168" s="72">
        <v>5</v>
      </c>
      <c r="F168" s="73" t="s">
        <v>256</v>
      </c>
      <c r="G168" s="74"/>
      <c r="H168" s="75">
        <f t="shared" si="18"/>
        <v>1</v>
      </c>
      <c r="I168" s="16" t="str">
        <f t="shared" si="19"/>
        <v>Arūnas ŠLENYS</v>
      </c>
      <c r="J168" s="76" t="str">
        <f t="shared" si="20"/>
        <v>C|E.L.A.D.A.|1</v>
      </c>
      <c r="K168" s="77" t="str">
        <f t="shared" si="21"/>
        <v/>
      </c>
      <c r="L168" s="78" t="str">
        <f t="shared" si="22"/>
        <v/>
      </c>
      <c r="M168" s="4"/>
      <c r="N168" s="79">
        <f>IF(OR($A168="",$B168=""),0,IF(COUNTIFS($A$5:$A168,$A168,$B$5:$B168,$B168)=1,1,0))</f>
        <v>0</v>
      </c>
      <c r="O168" s="79" t="str">
        <f t="shared" si="23"/>
        <v/>
      </c>
      <c r="P168" s="79" t="str">
        <f t="shared" si="24"/>
        <v/>
      </c>
      <c r="AL168" s="89" t="str">
        <f t="shared" ca="1" si="25"/>
        <v>ADMIN_Duomenys!$AA$5:$AA$16</v>
      </c>
    </row>
    <row r="169" spans="1:38" x14ac:dyDescent="0.3">
      <c r="A169" s="70" t="s">
        <v>417</v>
      </c>
      <c r="B169" s="71" t="s">
        <v>439</v>
      </c>
      <c r="C169" s="71" t="s">
        <v>449</v>
      </c>
      <c r="D169" s="71" t="s">
        <v>450</v>
      </c>
      <c r="E169" s="72">
        <v>13</v>
      </c>
      <c r="F169" s="73" t="s">
        <v>256</v>
      </c>
      <c r="G169" s="74"/>
      <c r="H169" s="75">
        <f t="shared" si="18"/>
        <v>5</v>
      </c>
      <c r="I169" s="16" t="str">
        <f t="shared" si="19"/>
        <v>Laima ZINKEVIČIŪTĖ</v>
      </c>
      <c r="J169" s="76" t="str">
        <f t="shared" si="20"/>
        <v>C|E.L.A.D.A.|5</v>
      </c>
      <c r="K169" s="77" t="str">
        <f t="shared" si="21"/>
        <v/>
      </c>
      <c r="L169" s="78" t="str">
        <f t="shared" si="22"/>
        <v/>
      </c>
      <c r="M169" s="4"/>
      <c r="N169" s="79">
        <f>IF(OR($A169="",$B169=""),0,IF(COUNTIFS($A$5:$A169,$A169,$B$5:$B169,$B169)=1,1,0))</f>
        <v>0</v>
      </c>
      <c r="O169" s="79" t="str">
        <f t="shared" si="23"/>
        <v/>
      </c>
      <c r="P169" s="79" t="str">
        <f t="shared" si="24"/>
        <v/>
      </c>
      <c r="AL169" s="89" t="str">
        <f t="shared" ca="1" si="25"/>
        <v>ADMIN_Duomenys!$AA$5:$AA$16</v>
      </c>
    </row>
    <row r="170" spans="1:38" x14ac:dyDescent="0.3">
      <c r="A170" s="70" t="s">
        <v>417</v>
      </c>
      <c r="B170" s="71" t="s">
        <v>451</v>
      </c>
      <c r="C170" s="71" t="s">
        <v>139</v>
      </c>
      <c r="D170" s="71" t="s">
        <v>452</v>
      </c>
      <c r="E170" s="72">
        <v>0</v>
      </c>
      <c r="F170" s="73" t="s">
        <v>268</v>
      </c>
      <c r="G170" s="74"/>
      <c r="H170" s="75">
        <f t="shared" si="18"/>
        <v>4</v>
      </c>
      <c r="I170" s="16" t="str">
        <f t="shared" si="19"/>
        <v>Marius BURBA</v>
      </c>
      <c r="J170" s="76" t="str">
        <f t="shared" si="20"/>
        <v>C|EKIPA|4</v>
      </c>
      <c r="K170" s="77" t="str">
        <f t="shared" si="21"/>
        <v/>
      </c>
      <c r="L170" s="78" t="str">
        <f t="shared" si="22"/>
        <v/>
      </c>
      <c r="M170" s="4"/>
      <c r="N170" s="79">
        <f>IF(OR($A170="",$B170=""),0,IF(COUNTIFS($A$5:$A170,$A170,$B$5:$B170,$B170)=1,1,0))</f>
        <v>1</v>
      </c>
      <c r="O170" s="79">
        <f t="shared" si="23"/>
        <v>4</v>
      </c>
      <c r="P170" s="79" t="str">
        <f t="shared" si="24"/>
        <v/>
      </c>
      <c r="AL170" s="89" t="str">
        <f t="shared" ca="1" si="25"/>
        <v>ADMIN_Duomenys!$AA$5:$AA$16</v>
      </c>
    </row>
    <row r="171" spans="1:38" x14ac:dyDescent="0.3">
      <c r="A171" s="70" t="s">
        <v>417</v>
      </c>
      <c r="B171" s="71" t="s">
        <v>451</v>
      </c>
      <c r="C171" s="71" t="s">
        <v>178</v>
      </c>
      <c r="D171" s="71" t="s">
        <v>453</v>
      </c>
      <c r="E171" s="72">
        <v>0</v>
      </c>
      <c r="F171" s="73" t="s">
        <v>268</v>
      </c>
      <c r="G171" s="74"/>
      <c r="H171" s="75">
        <f t="shared" si="18"/>
        <v>6</v>
      </c>
      <c r="I171" s="16" t="str">
        <f t="shared" si="19"/>
        <v>Tomas GULBINAS</v>
      </c>
      <c r="J171" s="76" t="str">
        <f t="shared" si="20"/>
        <v>C|EKIPA|6</v>
      </c>
      <c r="K171" s="77" t="str">
        <f t="shared" si="21"/>
        <v/>
      </c>
      <c r="L171" s="78" t="str">
        <f t="shared" si="22"/>
        <v/>
      </c>
      <c r="M171" s="4"/>
      <c r="N171" s="79">
        <f>IF(OR($A171="",$B171=""),0,IF(COUNTIFS($A$5:$A171,$A171,$B$5:$B171,$B171)=1,1,0))</f>
        <v>0</v>
      </c>
      <c r="O171" s="79" t="str">
        <f t="shared" si="23"/>
        <v/>
      </c>
      <c r="P171" s="79" t="str">
        <f t="shared" si="24"/>
        <v/>
      </c>
      <c r="AL171" s="89" t="str">
        <f t="shared" ca="1" si="25"/>
        <v>ADMIN_Duomenys!$AA$5:$AA$16</v>
      </c>
    </row>
    <row r="172" spans="1:38" x14ac:dyDescent="0.3">
      <c r="A172" s="70" t="s">
        <v>417</v>
      </c>
      <c r="B172" s="71" t="s">
        <v>451</v>
      </c>
      <c r="C172" s="71" t="s">
        <v>186</v>
      </c>
      <c r="D172" s="71" t="s">
        <v>454</v>
      </c>
      <c r="E172" s="72">
        <v>0</v>
      </c>
      <c r="F172" s="73" t="s">
        <v>268</v>
      </c>
      <c r="G172" s="74"/>
      <c r="H172" s="75">
        <f t="shared" si="18"/>
        <v>5</v>
      </c>
      <c r="I172" s="16" t="str">
        <f t="shared" si="19"/>
        <v>Rolandas KUPRYS</v>
      </c>
      <c r="J172" s="76" t="str">
        <f t="shared" si="20"/>
        <v>C|EKIPA|5</v>
      </c>
      <c r="K172" s="77" t="str">
        <f t="shared" si="21"/>
        <v/>
      </c>
      <c r="L172" s="78" t="str">
        <f t="shared" si="22"/>
        <v/>
      </c>
      <c r="M172" s="4"/>
      <c r="N172" s="79">
        <f>IF(OR($A172="",$B172=""),0,IF(COUNTIFS($A$5:$A172,$A172,$B$5:$B172,$B172)=1,1,0))</f>
        <v>0</v>
      </c>
      <c r="O172" s="79" t="str">
        <f t="shared" si="23"/>
        <v/>
      </c>
      <c r="P172" s="79" t="str">
        <f t="shared" si="24"/>
        <v/>
      </c>
      <c r="AL172" s="89" t="str">
        <f t="shared" ca="1" si="25"/>
        <v>ADMIN_Duomenys!$AA$5:$AA$16</v>
      </c>
    </row>
    <row r="173" spans="1:38" x14ac:dyDescent="0.3">
      <c r="A173" s="70" t="s">
        <v>417</v>
      </c>
      <c r="B173" s="71" t="s">
        <v>451</v>
      </c>
      <c r="C173" s="71" t="s">
        <v>455</v>
      </c>
      <c r="D173" s="71" t="s">
        <v>456</v>
      </c>
      <c r="E173" s="72">
        <v>5</v>
      </c>
      <c r="F173" s="73" t="s">
        <v>268</v>
      </c>
      <c r="G173" s="74"/>
      <c r="H173" s="75">
        <f t="shared" si="18"/>
        <v>7</v>
      </c>
      <c r="I173" s="16" t="str">
        <f t="shared" si="19"/>
        <v>Vaclovas MITKUS</v>
      </c>
      <c r="J173" s="76" t="str">
        <f t="shared" si="20"/>
        <v>C|EKIPA|7</v>
      </c>
      <c r="K173" s="77" t="str">
        <f t="shared" si="21"/>
        <v/>
      </c>
      <c r="L173" s="78" t="str">
        <f t="shared" si="22"/>
        <v/>
      </c>
      <c r="M173" s="4"/>
      <c r="N173" s="79">
        <f>IF(OR($A173="",$B173=""),0,IF(COUNTIFS($A$5:$A173,$A173,$B$5:$B173,$B173)=1,1,0))</f>
        <v>0</v>
      </c>
      <c r="O173" s="79" t="str">
        <f t="shared" si="23"/>
        <v/>
      </c>
      <c r="P173" s="79" t="str">
        <f t="shared" si="24"/>
        <v/>
      </c>
      <c r="AL173" s="89" t="str">
        <f t="shared" ca="1" si="25"/>
        <v>ADMIN_Duomenys!$AA$5:$AA$16</v>
      </c>
    </row>
    <row r="174" spans="1:38" x14ac:dyDescent="0.3">
      <c r="A174" s="70" t="s">
        <v>417</v>
      </c>
      <c r="B174" s="71" t="s">
        <v>451</v>
      </c>
      <c r="C174" s="71" t="s">
        <v>457</v>
      </c>
      <c r="D174" s="71" t="s">
        <v>135</v>
      </c>
      <c r="E174" s="72">
        <v>0</v>
      </c>
      <c r="F174" s="73" t="s">
        <v>268</v>
      </c>
      <c r="G174" s="74"/>
      <c r="H174" s="75">
        <f t="shared" si="18"/>
        <v>3</v>
      </c>
      <c r="I174" s="16" t="str">
        <f t="shared" si="19"/>
        <v>Linas PETKEVIČIUS</v>
      </c>
      <c r="J174" s="76" t="str">
        <f t="shared" si="20"/>
        <v>C|EKIPA|3</v>
      </c>
      <c r="K174" s="77" t="str">
        <f t="shared" si="21"/>
        <v/>
      </c>
      <c r="L174" s="78" t="str">
        <f t="shared" si="22"/>
        <v/>
      </c>
      <c r="M174" s="4"/>
      <c r="N174" s="79">
        <f>IF(OR($A174="",$B174=""),0,IF(COUNTIFS($A$5:$A174,$A174,$B$5:$B174,$B174)=1,1,0))</f>
        <v>0</v>
      </c>
      <c r="O174" s="79" t="str">
        <f t="shared" si="23"/>
        <v/>
      </c>
      <c r="P174" s="79" t="str">
        <f t="shared" si="24"/>
        <v/>
      </c>
      <c r="AL174" s="89" t="str">
        <f t="shared" ca="1" si="25"/>
        <v>ADMIN_Duomenys!$AA$5:$AA$16</v>
      </c>
    </row>
    <row r="175" spans="1:38" x14ac:dyDescent="0.3">
      <c r="A175" s="70" t="s">
        <v>417</v>
      </c>
      <c r="B175" s="71" t="s">
        <v>451</v>
      </c>
      <c r="C175" s="71" t="s">
        <v>458</v>
      </c>
      <c r="D175" s="71" t="s">
        <v>459</v>
      </c>
      <c r="E175" s="72">
        <v>8</v>
      </c>
      <c r="F175" s="73" t="s">
        <v>268</v>
      </c>
      <c r="G175" s="74"/>
      <c r="H175" s="75">
        <f t="shared" si="18"/>
        <v>2</v>
      </c>
      <c r="I175" s="16" t="str">
        <f t="shared" si="19"/>
        <v>Giedrė SIMONAUSKAITĖ KUPRĖ</v>
      </c>
      <c r="J175" s="76" t="str">
        <f t="shared" si="20"/>
        <v>C|EKIPA|2</v>
      </c>
      <c r="K175" s="77" t="str">
        <f t="shared" si="21"/>
        <v/>
      </c>
      <c r="L175" s="78" t="str">
        <f t="shared" si="22"/>
        <v/>
      </c>
      <c r="M175" s="4"/>
      <c r="N175" s="79">
        <f>IF(OR($A175="",$B175=""),0,IF(COUNTIFS($A$5:$A175,$A175,$B$5:$B175,$B175)=1,1,0))</f>
        <v>0</v>
      </c>
      <c r="O175" s="79" t="str">
        <f t="shared" si="23"/>
        <v/>
      </c>
      <c r="P175" s="79" t="str">
        <f t="shared" si="24"/>
        <v/>
      </c>
      <c r="AL175" s="89" t="str">
        <f t="shared" ca="1" si="25"/>
        <v>ADMIN_Duomenys!$AA$5:$AA$16</v>
      </c>
    </row>
    <row r="176" spans="1:38" x14ac:dyDescent="0.3">
      <c r="A176" s="70" t="s">
        <v>417</v>
      </c>
      <c r="B176" s="71" t="s">
        <v>451</v>
      </c>
      <c r="C176" s="71" t="s">
        <v>287</v>
      </c>
      <c r="D176" s="71" t="s">
        <v>460</v>
      </c>
      <c r="E176" s="72">
        <v>10</v>
      </c>
      <c r="F176" s="73" t="s">
        <v>268</v>
      </c>
      <c r="G176" s="74"/>
      <c r="H176" s="75">
        <f t="shared" si="18"/>
        <v>1</v>
      </c>
      <c r="I176" s="16" t="str">
        <f t="shared" si="19"/>
        <v>Algimantas VALINSKIS</v>
      </c>
      <c r="J176" s="76" t="str">
        <f t="shared" si="20"/>
        <v>C|EKIPA|1</v>
      </c>
      <c r="K176" s="77" t="str">
        <f t="shared" si="21"/>
        <v/>
      </c>
      <c r="L176" s="78" t="str">
        <f t="shared" si="22"/>
        <v/>
      </c>
      <c r="M176" s="4"/>
      <c r="N176" s="79">
        <f>IF(OR($A176="",$B176=""),0,IF(COUNTIFS($A$5:$A176,$A176,$B$5:$B176,$B176)=1,1,0))</f>
        <v>0</v>
      </c>
      <c r="O176" s="79" t="str">
        <f t="shared" si="23"/>
        <v/>
      </c>
      <c r="P176" s="79" t="str">
        <f t="shared" si="24"/>
        <v/>
      </c>
      <c r="AL176" s="89" t="str">
        <f t="shared" ca="1" si="25"/>
        <v>ADMIN_Duomenys!$AA$5:$AA$16</v>
      </c>
    </row>
    <row r="177" spans="1:38" x14ac:dyDescent="0.3">
      <c r="A177" s="70" t="s">
        <v>417</v>
      </c>
      <c r="B177" s="71" t="s">
        <v>461</v>
      </c>
      <c r="C177" s="71" t="s">
        <v>462</v>
      </c>
      <c r="D177" s="71" t="s">
        <v>463</v>
      </c>
      <c r="E177" s="72">
        <v>0</v>
      </c>
      <c r="F177" s="73" t="s">
        <v>256</v>
      </c>
      <c r="G177" s="74"/>
      <c r="H177" s="75">
        <f t="shared" si="18"/>
        <v>5</v>
      </c>
      <c r="I177" s="16" t="str">
        <f t="shared" si="19"/>
        <v>Silvestras BORAVSKIS</v>
      </c>
      <c r="J177" s="76" t="str">
        <f t="shared" si="20"/>
        <v>C|KKK|5</v>
      </c>
      <c r="K177" s="77" t="str">
        <f t="shared" si="21"/>
        <v/>
      </c>
      <c r="L177" s="78" t="str">
        <f t="shared" si="22"/>
        <v/>
      </c>
      <c r="M177" s="4"/>
      <c r="N177" s="79">
        <f>IF(OR($A177="",$B177=""),0,IF(COUNTIFS($A$5:$A177,$A177,$B$5:$B177,$B177)=1,1,0))</f>
        <v>1</v>
      </c>
      <c r="O177" s="79">
        <f t="shared" si="23"/>
        <v>5</v>
      </c>
      <c r="P177" s="79" t="str">
        <f t="shared" si="24"/>
        <v/>
      </c>
      <c r="AL177" s="89" t="str">
        <f t="shared" ca="1" si="25"/>
        <v>ADMIN_Duomenys!$AA$5:$AA$16</v>
      </c>
    </row>
    <row r="178" spans="1:38" x14ac:dyDescent="0.3">
      <c r="A178" s="70" t="s">
        <v>417</v>
      </c>
      <c r="B178" s="71" t="s">
        <v>461</v>
      </c>
      <c r="C178" s="71" t="s">
        <v>289</v>
      </c>
      <c r="D178" s="71" t="s">
        <v>464</v>
      </c>
      <c r="E178" s="72">
        <v>0</v>
      </c>
      <c r="F178" s="73" t="s">
        <v>256</v>
      </c>
      <c r="G178" s="74"/>
      <c r="H178" s="75">
        <f t="shared" si="18"/>
        <v>4</v>
      </c>
      <c r="I178" s="16" t="str">
        <f t="shared" si="19"/>
        <v>Saulius GEDGAUDAS</v>
      </c>
      <c r="J178" s="76" t="str">
        <f t="shared" si="20"/>
        <v>C|KKK|4</v>
      </c>
      <c r="K178" s="77" t="str">
        <f t="shared" si="21"/>
        <v/>
      </c>
      <c r="L178" s="78" t="str">
        <f t="shared" si="22"/>
        <v/>
      </c>
      <c r="M178" s="4"/>
      <c r="N178" s="79">
        <f>IF(OR($A178="",$B178=""),0,IF(COUNTIFS($A$5:$A178,$A178,$B$5:$B178,$B178)=1,1,0))</f>
        <v>0</v>
      </c>
      <c r="O178" s="79" t="str">
        <f t="shared" si="23"/>
        <v/>
      </c>
      <c r="P178" s="79" t="str">
        <f t="shared" si="24"/>
        <v/>
      </c>
      <c r="AL178" s="89" t="str">
        <f t="shared" ca="1" si="25"/>
        <v>ADMIN_Duomenys!$AA$5:$AA$16</v>
      </c>
    </row>
    <row r="179" spans="1:38" x14ac:dyDescent="0.3">
      <c r="A179" s="70" t="s">
        <v>417</v>
      </c>
      <c r="B179" s="71" t="s">
        <v>461</v>
      </c>
      <c r="C179" s="71" t="s">
        <v>465</v>
      </c>
      <c r="D179" s="71" t="s">
        <v>466</v>
      </c>
      <c r="E179" s="72">
        <v>11</v>
      </c>
      <c r="F179" s="73" t="s">
        <v>256</v>
      </c>
      <c r="G179" s="74"/>
      <c r="H179" s="75">
        <f t="shared" si="18"/>
        <v>1</v>
      </c>
      <c r="I179" s="16" t="str">
        <f t="shared" si="19"/>
        <v>Leonas GRIŽAS</v>
      </c>
      <c r="J179" s="76" t="str">
        <f t="shared" si="20"/>
        <v>C|KKK|1</v>
      </c>
      <c r="K179" s="77" t="str">
        <f t="shared" si="21"/>
        <v/>
      </c>
      <c r="L179" s="78" t="str">
        <f t="shared" si="22"/>
        <v/>
      </c>
      <c r="M179" s="4"/>
      <c r="N179" s="79">
        <f>IF(OR($A179="",$B179=""),0,IF(COUNTIFS($A$5:$A179,$A179,$B$5:$B179,$B179)=1,1,0))</f>
        <v>0</v>
      </c>
      <c r="O179" s="79" t="str">
        <f t="shared" si="23"/>
        <v/>
      </c>
      <c r="P179" s="79" t="str">
        <f t="shared" si="24"/>
        <v/>
      </c>
      <c r="AL179" s="89" t="str">
        <f t="shared" ca="1" si="25"/>
        <v>ADMIN_Duomenys!$AA$5:$AA$16</v>
      </c>
    </row>
    <row r="180" spans="1:38" x14ac:dyDescent="0.3">
      <c r="A180" s="70" t="s">
        <v>417</v>
      </c>
      <c r="B180" s="71" t="s">
        <v>461</v>
      </c>
      <c r="C180" s="71" t="s">
        <v>325</v>
      </c>
      <c r="D180" s="71" t="s">
        <v>467</v>
      </c>
      <c r="E180" s="72">
        <v>13</v>
      </c>
      <c r="F180" s="73" t="s">
        <v>256</v>
      </c>
      <c r="G180" s="74"/>
      <c r="H180" s="75">
        <f t="shared" si="18"/>
        <v>6</v>
      </c>
      <c r="I180" s="16" t="str">
        <f t="shared" si="19"/>
        <v>Violeta KULIAVIENĖ</v>
      </c>
      <c r="J180" s="76" t="str">
        <f t="shared" si="20"/>
        <v>C|KKK|6</v>
      </c>
      <c r="K180" s="77" t="str">
        <f t="shared" si="21"/>
        <v/>
      </c>
      <c r="L180" s="78" t="str">
        <f t="shared" si="22"/>
        <v/>
      </c>
      <c r="M180" s="4"/>
      <c r="N180" s="79">
        <f>IF(OR($A180="",$B180=""),0,IF(COUNTIFS($A$5:$A180,$A180,$B$5:$B180,$B180)=1,1,0))</f>
        <v>0</v>
      </c>
      <c r="O180" s="79" t="str">
        <f t="shared" si="23"/>
        <v/>
      </c>
      <c r="P180" s="79" t="str">
        <f t="shared" si="24"/>
        <v/>
      </c>
      <c r="AL180" s="89" t="str">
        <f t="shared" ca="1" si="25"/>
        <v>ADMIN_Duomenys!$AA$5:$AA$16</v>
      </c>
    </row>
    <row r="181" spans="1:38" x14ac:dyDescent="0.3">
      <c r="A181" s="70" t="s">
        <v>417</v>
      </c>
      <c r="B181" s="71" t="s">
        <v>461</v>
      </c>
      <c r="C181" s="71" t="s">
        <v>468</v>
      </c>
      <c r="D181" s="71" t="s">
        <v>469</v>
      </c>
      <c r="E181" s="72">
        <v>8</v>
      </c>
      <c r="F181" s="73" t="s">
        <v>256</v>
      </c>
      <c r="G181" s="74"/>
      <c r="H181" s="75">
        <f t="shared" si="18"/>
        <v>3</v>
      </c>
      <c r="I181" s="16" t="str">
        <f t="shared" si="19"/>
        <v>Nerija MITRAUSKAITĖ</v>
      </c>
      <c r="J181" s="76" t="str">
        <f t="shared" si="20"/>
        <v>C|KKK|3</v>
      </c>
      <c r="K181" s="77" t="str">
        <f t="shared" si="21"/>
        <v/>
      </c>
      <c r="L181" s="78" t="str">
        <f t="shared" si="22"/>
        <v/>
      </c>
      <c r="M181" s="4"/>
      <c r="N181" s="79">
        <f>IF(OR($A181="",$B181=""),0,IF(COUNTIFS($A$5:$A181,$A181,$B$5:$B181,$B181)=1,1,0))</f>
        <v>0</v>
      </c>
      <c r="O181" s="79" t="str">
        <f t="shared" si="23"/>
        <v/>
      </c>
      <c r="P181" s="79" t="str">
        <f t="shared" si="24"/>
        <v/>
      </c>
      <c r="AL181" s="89" t="str">
        <f t="shared" ca="1" si="25"/>
        <v>ADMIN_Duomenys!$AA$5:$AA$16</v>
      </c>
    </row>
    <row r="182" spans="1:38" x14ac:dyDescent="0.3">
      <c r="A182" s="70" t="s">
        <v>417</v>
      </c>
      <c r="B182" s="71" t="s">
        <v>461</v>
      </c>
      <c r="C182" s="71" t="s">
        <v>470</v>
      </c>
      <c r="D182" s="71" t="s">
        <v>471</v>
      </c>
      <c r="E182" s="72">
        <v>13</v>
      </c>
      <c r="F182" s="73" t="s">
        <v>256</v>
      </c>
      <c r="G182" s="74"/>
      <c r="H182" s="75">
        <f t="shared" si="18"/>
        <v>2</v>
      </c>
      <c r="I182" s="16" t="str">
        <f t="shared" si="19"/>
        <v>Lina PALIANSKIENĖ</v>
      </c>
      <c r="J182" s="76" t="str">
        <f t="shared" si="20"/>
        <v>C|KKK|2</v>
      </c>
      <c r="K182" s="77" t="str">
        <f t="shared" si="21"/>
        <v/>
      </c>
      <c r="L182" s="78" t="str">
        <f t="shared" si="22"/>
        <v/>
      </c>
      <c r="M182" s="4"/>
      <c r="N182" s="79">
        <f>IF(OR($A182="",$B182=""),0,IF(COUNTIFS($A$5:$A182,$A182,$B$5:$B182,$B182)=1,1,0))</f>
        <v>0</v>
      </c>
      <c r="O182" s="79" t="str">
        <f t="shared" si="23"/>
        <v/>
      </c>
      <c r="P182" s="79" t="str">
        <f t="shared" si="24"/>
        <v/>
      </c>
      <c r="AL182" s="89" t="str">
        <f t="shared" ca="1" si="25"/>
        <v>ADMIN_Duomenys!$AA$5:$AA$16</v>
      </c>
    </row>
    <row r="183" spans="1:38" x14ac:dyDescent="0.3">
      <c r="A183" s="70" t="s">
        <v>417</v>
      </c>
      <c r="B183" s="71" t="s">
        <v>472</v>
      </c>
      <c r="C183" s="71" t="s">
        <v>473</v>
      </c>
      <c r="D183" s="71" t="s">
        <v>474</v>
      </c>
      <c r="E183" s="72">
        <v>0</v>
      </c>
      <c r="F183" s="73" t="s">
        <v>268</v>
      </c>
      <c r="G183" s="74"/>
      <c r="H183" s="75">
        <f t="shared" si="18"/>
        <v>3</v>
      </c>
      <c r="I183" s="16" t="str">
        <f t="shared" si="19"/>
        <v>Edgaras BUKSNYS</v>
      </c>
      <c r="J183" s="76" t="str">
        <f t="shared" si="20"/>
        <v>C|KKK-2|3</v>
      </c>
      <c r="K183" s="77" t="str">
        <f t="shared" si="21"/>
        <v/>
      </c>
      <c r="L183" s="78" t="str">
        <f t="shared" si="22"/>
        <v/>
      </c>
      <c r="M183" s="4"/>
      <c r="N183" s="79">
        <f>IF(OR($A183="",$B183=""),0,IF(COUNTIFS($A$5:$A183,$A183,$B$5:$B183,$B183)=1,1,0))</f>
        <v>1</v>
      </c>
      <c r="O183" s="79">
        <f t="shared" si="23"/>
        <v>6</v>
      </c>
      <c r="P183" s="79" t="str">
        <f t="shared" si="24"/>
        <v/>
      </c>
      <c r="AL183" s="89" t="str">
        <f t="shared" ca="1" si="25"/>
        <v>ADMIN_Duomenys!$AA$5:$AA$16</v>
      </c>
    </row>
    <row r="184" spans="1:38" x14ac:dyDescent="0.3">
      <c r="A184" s="70" t="s">
        <v>417</v>
      </c>
      <c r="B184" s="71" t="s">
        <v>472</v>
      </c>
      <c r="C184" s="71" t="s">
        <v>475</v>
      </c>
      <c r="D184" s="71" t="s">
        <v>476</v>
      </c>
      <c r="E184" s="72">
        <v>0</v>
      </c>
      <c r="F184" s="73" t="s">
        <v>268</v>
      </c>
      <c r="G184" s="74"/>
      <c r="H184" s="75">
        <f t="shared" si="18"/>
        <v>5</v>
      </c>
      <c r="I184" s="16" t="str">
        <f t="shared" si="19"/>
        <v>Modestas JAKAITIS</v>
      </c>
      <c r="J184" s="76" t="str">
        <f t="shared" si="20"/>
        <v>C|KKK-2|5</v>
      </c>
      <c r="K184" s="77" t="str">
        <f t="shared" si="21"/>
        <v/>
      </c>
      <c r="L184" s="78" t="str">
        <f t="shared" si="22"/>
        <v/>
      </c>
      <c r="M184" s="4"/>
      <c r="N184" s="79">
        <f>IF(OR($A184="",$B184=""),0,IF(COUNTIFS($A$5:$A184,$A184,$B$5:$B184,$B184)=1,1,0))</f>
        <v>0</v>
      </c>
      <c r="O184" s="79" t="str">
        <f t="shared" si="23"/>
        <v/>
      </c>
      <c r="P184" s="79" t="str">
        <f t="shared" si="24"/>
        <v/>
      </c>
      <c r="AL184" s="89" t="str">
        <f t="shared" ca="1" si="25"/>
        <v>ADMIN_Duomenys!$AA$5:$AA$16</v>
      </c>
    </row>
    <row r="185" spans="1:38" x14ac:dyDescent="0.3">
      <c r="A185" s="70" t="s">
        <v>417</v>
      </c>
      <c r="B185" s="71" t="s">
        <v>472</v>
      </c>
      <c r="C185" s="71" t="s">
        <v>308</v>
      </c>
      <c r="D185" s="71" t="s">
        <v>477</v>
      </c>
      <c r="E185" s="72">
        <v>0</v>
      </c>
      <c r="F185" s="73" t="s">
        <v>268</v>
      </c>
      <c r="G185" s="74"/>
      <c r="H185" s="75">
        <f t="shared" si="18"/>
        <v>2</v>
      </c>
      <c r="I185" s="16" t="str">
        <f t="shared" si="19"/>
        <v>Dainius JASILEVIČIUS</v>
      </c>
      <c r="J185" s="76" t="str">
        <f t="shared" si="20"/>
        <v>C|KKK-2|2</v>
      </c>
      <c r="K185" s="77" t="str">
        <f t="shared" si="21"/>
        <v/>
      </c>
      <c r="L185" s="78" t="str">
        <f t="shared" si="22"/>
        <v/>
      </c>
      <c r="M185" s="4"/>
      <c r="N185" s="79">
        <f>IF(OR($A185="",$B185=""),0,IF(COUNTIFS($A$5:$A185,$A185,$B$5:$B185,$B185)=1,1,0))</f>
        <v>0</v>
      </c>
      <c r="O185" s="79" t="str">
        <f t="shared" si="23"/>
        <v/>
      </c>
      <c r="P185" s="79" t="str">
        <f t="shared" si="24"/>
        <v/>
      </c>
      <c r="AL185" s="89" t="str">
        <f t="shared" ca="1" si="25"/>
        <v>ADMIN_Duomenys!$AA$5:$AA$16</v>
      </c>
    </row>
    <row r="186" spans="1:38" x14ac:dyDescent="0.3">
      <c r="A186" s="70" t="s">
        <v>417</v>
      </c>
      <c r="B186" s="71" t="s">
        <v>472</v>
      </c>
      <c r="C186" s="71" t="s">
        <v>478</v>
      </c>
      <c r="D186" s="71" t="s">
        <v>479</v>
      </c>
      <c r="E186" s="72">
        <v>8</v>
      </c>
      <c r="F186" s="73" t="s">
        <v>268</v>
      </c>
      <c r="G186" s="74"/>
      <c r="H186" s="75">
        <f t="shared" si="18"/>
        <v>6</v>
      </c>
      <c r="I186" s="16" t="str">
        <f t="shared" si="19"/>
        <v>Valerija PERMINAITĖ</v>
      </c>
      <c r="J186" s="76" t="str">
        <f t="shared" si="20"/>
        <v>C|KKK-2|6</v>
      </c>
      <c r="K186" s="77" t="str">
        <f t="shared" si="21"/>
        <v/>
      </c>
      <c r="L186" s="78" t="str">
        <f t="shared" si="22"/>
        <v/>
      </c>
      <c r="M186" s="4"/>
      <c r="N186" s="79">
        <f>IF(OR($A186="",$B186=""),0,IF(COUNTIFS($A$5:$A186,$A186,$B$5:$B186,$B186)=1,1,0))</f>
        <v>0</v>
      </c>
      <c r="O186" s="79" t="str">
        <f t="shared" si="23"/>
        <v/>
      </c>
      <c r="P186" s="79" t="str">
        <f t="shared" si="24"/>
        <v/>
      </c>
      <c r="AL186" s="89" t="str">
        <f t="shared" ca="1" si="25"/>
        <v>ADMIN_Duomenys!$AA$5:$AA$16</v>
      </c>
    </row>
    <row r="187" spans="1:38" x14ac:dyDescent="0.3">
      <c r="A187" s="70" t="s">
        <v>417</v>
      </c>
      <c r="B187" s="71" t="s">
        <v>472</v>
      </c>
      <c r="C187" s="71" t="s">
        <v>480</v>
      </c>
      <c r="D187" s="71" t="s">
        <v>481</v>
      </c>
      <c r="E187" s="72">
        <v>10</v>
      </c>
      <c r="F187" s="73" t="s">
        <v>268</v>
      </c>
      <c r="G187" s="74"/>
      <c r="H187" s="75">
        <f t="shared" si="18"/>
        <v>4</v>
      </c>
      <c r="I187" s="16" t="str">
        <f t="shared" si="19"/>
        <v>Eugenijus STANKEVIČIUS</v>
      </c>
      <c r="J187" s="76" t="str">
        <f t="shared" si="20"/>
        <v>C|KKK-2|4</v>
      </c>
      <c r="K187" s="77" t="str">
        <f t="shared" si="21"/>
        <v/>
      </c>
      <c r="L187" s="78" t="str">
        <f t="shared" si="22"/>
        <v/>
      </c>
      <c r="M187" s="4"/>
      <c r="N187" s="79">
        <f>IF(OR($A187="",$B187=""),0,IF(COUNTIFS($A$5:$A187,$A187,$B$5:$B187,$B187)=1,1,0))</f>
        <v>0</v>
      </c>
      <c r="O187" s="79" t="str">
        <f t="shared" si="23"/>
        <v/>
      </c>
      <c r="P187" s="79" t="str">
        <f t="shared" si="24"/>
        <v/>
      </c>
      <c r="AL187" s="89" t="str">
        <f t="shared" ca="1" si="25"/>
        <v>ADMIN_Duomenys!$AA$5:$AA$16</v>
      </c>
    </row>
    <row r="188" spans="1:38" x14ac:dyDescent="0.3">
      <c r="A188" s="70" t="s">
        <v>417</v>
      </c>
      <c r="B188" s="71" t="s">
        <v>472</v>
      </c>
      <c r="C188" s="71" t="s">
        <v>274</v>
      </c>
      <c r="D188" s="71" t="s">
        <v>482</v>
      </c>
      <c r="E188" s="72">
        <v>5</v>
      </c>
      <c r="F188" s="73" t="s">
        <v>268</v>
      </c>
      <c r="G188" s="74"/>
      <c r="H188" s="75">
        <f t="shared" si="18"/>
        <v>1</v>
      </c>
      <c r="I188" s="16" t="str">
        <f t="shared" si="19"/>
        <v>Alvydas TALAČKA</v>
      </c>
      <c r="J188" s="76" t="str">
        <f t="shared" si="20"/>
        <v>C|KKK-2|1</v>
      </c>
      <c r="K188" s="77" t="str">
        <f t="shared" si="21"/>
        <v/>
      </c>
      <c r="L188" s="78" t="str">
        <f t="shared" si="22"/>
        <v/>
      </c>
      <c r="M188" s="4"/>
      <c r="N188" s="79">
        <f>IF(OR($A188="",$B188=""),0,IF(COUNTIFS($A$5:$A188,$A188,$B$5:$B188,$B188)=1,1,0))</f>
        <v>0</v>
      </c>
      <c r="O188" s="79" t="str">
        <f t="shared" si="23"/>
        <v/>
      </c>
      <c r="P188" s="79" t="str">
        <f t="shared" si="24"/>
        <v/>
      </c>
      <c r="AL188" s="89" t="str">
        <f t="shared" ca="1" si="25"/>
        <v>ADMIN_Duomenys!$AA$5:$AA$16</v>
      </c>
    </row>
    <row r="189" spans="1:38" x14ac:dyDescent="0.3">
      <c r="A189" s="70" t="s">
        <v>417</v>
      </c>
      <c r="B189" s="71" t="s">
        <v>483</v>
      </c>
      <c r="C189" s="71" t="s">
        <v>484</v>
      </c>
      <c r="D189" s="71" t="s">
        <v>485</v>
      </c>
      <c r="E189" s="72">
        <v>0</v>
      </c>
      <c r="F189" s="73" t="s">
        <v>268</v>
      </c>
      <c r="G189" s="74"/>
      <c r="H189" s="75">
        <f t="shared" si="18"/>
        <v>4</v>
      </c>
      <c r="I189" s="16" t="str">
        <f t="shared" si="19"/>
        <v>Ričardas GREIFENBERGERIS</v>
      </c>
      <c r="J189" s="76" t="str">
        <f t="shared" si="20"/>
        <v>C|MAJAMIS|4</v>
      </c>
      <c r="K189" s="77" t="str">
        <f t="shared" si="21"/>
        <v/>
      </c>
      <c r="L189" s="78" t="str">
        <f t="shared" si="22"/>
        <v/>
      </c>
      <c r="M189" s="4"/>
      <c r="N189" s="79">
        <f>IF(OR($A189="",$B189=""),0,IF(COUNTIFS($A$5:$A189,$A189,$B$5:$B189,$B189)=1,1,0))</f>
        <v>1</v>
      </c>
      <c r="O189" s="79">
        <f t="shared" si="23"/>
        <v>7</v>
      </c>
      <c r="P189" s="79" t="str">
        <f t="shared" si="24"/>
        <v/>
      </c>
      <c r="AL189" s="89" t="str">
        <f t="shared" ca="1" si="25"/>
        <v>ADMIN_Duomenys!$AA$5:$AA$16</v>
      </c>
    </row>
    <row r="190" spans="1:38" x14ac:dyDescent="0.3">
      <c r="A190" s="70" t="s">
        <v>417</v>
      </c>
      <c r="B190" s="71" t="s">
        <v>483</v>
      </c>
      <c r="C190" s="71" t="s">
        <v>349</v>
      </c>
      <c r="D190" s="71" t="s">
        <v>486</v>
      </c>
      <c r="E190" s="72">
        <v>0</v>
      </c>
      <c r="F190" s="73" t="s">
        <v>268</v>
      </c>
      <c r="G190" s="74"/>
      <c r="H190" s="75">
        <f t="shared" si="18"/>
        <v>2</v>
      </c>
      <c r="I190" s="16" t="str">
        <f t="shared" si="19"/>
        <v>Martynas KALPUKEVIČIUS</v>
      </c>
      <c r="J190" s="76" t="str">
        <f t="shared" si="20"/>
        <v>C|MAJAMIS|2</v>
      </c>
      <c r="K190" s="77" t="str">
        <f t="shared" si="21"/>
        <v/>
      </c>
      <c r="L190" s="78" t="str">
        <f t="shared" si="22"/>
        <v/>
      </c>
      <c r="M190" s="4"/>
      <c r="N190" s="79">
        <f>IF(OR($A190="",$B190=""),0,IF(COUNTIFS($A$5:$A190,$A190,$B$5:$B190,$B190)=1,1,0))</f>
        <v>0</v>
      </c>
      <c r="O190" s="79" t="str">
        <f t="shared" si="23"/>
        <v/>
      </c>
      <c r="P190" s="79" t="str">
        <f t="shared" si="24"/>
        <v/>
      </c>
      <c r="AL190" s="89" t="str">
        <f t="shared" ca="1" si="25"/>
        <v>ADMIN_Duomenys!$AA$5:$AA$16</v>
      </c>
    </row>
    <row r="191" spans="1:38" x14ac:dyDescent="0.3">
      <c r="A191" s="70" t="s">
        <v>417</v>
      </c>
      <c r="B191" s="71" t="s">
        <v>483</v>
      </c>
      <c r="C191" s="71" t="s">
        <v>487</v>
      </c>
      <c r="D191" s="71" t="s">
        <v>488</v>
      </c>
      <c r="E191" s="72">
        <v>0</v>
      </c>
      <c r="F191" s="73" t="s">
        <v>268</v>
      </c>
      <c r="G191" s="74"/>
      <c r="H191" s="75">
        <f t="shared" si="18"/>
        <v>3</v>
      </c>
      <c r="I191" s="16" t="str">
        <f t="shared" si="19"/>
        <v>Remigijus KARALIUS</v>
      </c>
      <c r="J191" s="76" t="str">
        <f t="shared" si="20"/>
        <v>C|MAJAMIS|3</v>
      </c>
      <c r="K191" s="77" t="str">
        <f t="shared" si="21"/>
        <v/>
      </c>
      <c r="L191" s="78" t="str">
        <f t="shared" si="22"/>
        <v/>
      </c>
      <c r="M191" s="4"/>
      <c r="N191" s="79">
        <f>IF(OR($A191="",$B191=""),0,IF(COUNTIFS($A$5:$A191,$A191,$B$5:$B191,$B191)=1,1,0))</f>
        <v>0</v>
      </c>
      <c r="O191" s="79" t="str">
        <f t="shared" si="23"/>
        <v/>
      </c>
      <c r="P191" s="79" t="str">
        <f t="shared" si="24"/>
        <v/>
      </c>
      <c r="AL191" s="89" t="str">
        <f t="shared" ca="1" si="25"/>
        <v>ADMIN_Duomenys!$AA$5:$AA$16</v>
      </c>
    </row>
    <row r="192" spans="1:38" x14ac:dyDescent="0.3">
      <c r="A192" s="70" t="s">
        <v>417</v>
      </c>
      <c r="B192" s="71" t="s">
        <v>483</v>
      </c>
      <c r="C192" s="71" t="s">
        <v>489</v>
      </c>
      <c r="D192" s="71" t="s">
        <v>490</v>
      </c>
      <c r="E192" s="72">
        <v>5</v>
      </c>
      <c r="F192" s="73" t="s">
        <v>268</v>
      </c>
      <c r="G192" s="74"/>
      <c r="H192" s="75">
        <f t="shared" si="18"/>
        <v>1</v>
      </c>
      <c r="I192" s="16" t="str">
        <f t="shared" si="19"/>
        <v>Justinas KAZLA</v>
      </c>
      <c r="J192" s="76" t="str">
        <f t="shared" si="20"/>
        <v>C|MAJAMIS|1</v>
      </c>
      <c r="K192" s="77" t="str">
        <f t="shared" si="21"/>
        <v/>
      </c>
      <c r="L192" s="78" t="str">
        <f t="shared" si="22"/>
        <v/>
      </c>
      <c r="M192" s="4"/>
      <c r="N192" s="79">
        <f>IF(OR($A192="",$B192=""),0,IF(COUNTIFS($A$5:$A192,$A192,$B$5:$B192,$B192)=1,1,0))</f>
        <v>0</v>
      </c>
      <c r="O192" s="79" t="str">
        <f t="shared" si="23"/>
        <v/>
      </c>
      <c r="P192" s="79" t="str">
        <f t="shared" si="24"/>
        <v/>
      </c>
      <c r="AL192" s="89" t="str">
        <f t="shared" ca="1" si="25"/>
        <v>ADMIN_Duomenys!$AA$5:$AA$16</v>
      </c>
    </row>
    <row r="193" spans="1:38" x14ac:dyDescent="0.3">
      <c r="A193" s="70" t="s">
        <v>417</v>
      </c>
      <c r="B193" s="71" t="s">
        <v>483</v>
      </c>
      <c r="C193" s="71" t="s">
        <v>484</v>
      </c>
      <c r="D193" s="71" t="s">
        <v>491</v>
      </c>
      <c r="E193" s="72">
        <v>0</v>
      </c>
      <c r="F193" s="73" t="s">
        <v>268</v>
      </c>
      <c r="G193" s="74"/>
      <c r="H193" s="75">
        <f t="shared" si="18"/>
        <v>5</v>
      </c>
      <c r="I193" s="16" t="str">
        <f t="shared" si="19"/>
        <v>Ričardas MERKUŠEVIČIUS</v>
      </c>
      <c r="J193" s="76" t="str">
        <f t="shared" si="20"/>
        <v>C|MAJAMIS|5</v>
      </c>
      <c r="K193" s="77" t="str">
        <f t="shared" si="21"/>
        <v/>
      </c>
      <c r="L193" s="78" t="str">
        <f t="shared" si="22"/>
        <v/>
      </c>
      <c r="M193" s="4"/>
      <c r="N193" s="79">
        <f>IF(OR($A193="",$B193=""),0,IF(COUNTIFS($A$5:$A193,$A193,$B$5:$B193,$B193)=1,1,0))</f>
        <v>0</v>
      </c>
      <c r="O193" s="79" t="str">
        <f t="shared" si="23"/>
        <v/>
      </c>
      <c r="P193" s="79" t="str">
        <f t="shared" si="24"/>
        <v/>
      </c>
      <c r="AL193" s="89" t="str">
        <f t="shared" ca="1" si="25"/>
        <v>ADMIN_Duomenys!$AA$5:$AA$16</v>
      </c>
    </row>
    <row r="194" spans="1:38" x14ac:dyDescent="0.3">
      <c r="A194" s="70" t="s">
        <v>417</v>
      </c>
      <c r="B194" s="71" t="s">
        <v>483</v>
      </c>
      <c r="C194" s="71" t="s">
        <v>492</v>
      </c>
      <c r="D194" s="289" t="s">
        <v>548</v>
      </c>
      <c r="E194" s="72">
        <v>0</v>
      </c>
      <c r="F194" s="73" t="s">
        <v>268</v>
      </c>
      <c r="G194" s="74"/>
      <c r="H194" s="75">
        <f t="shared" si="18"/>
        <v>6</v>
      </c>
      <c r="I194" s="16" t="str">
        <f t="shared" si="19"/>
        <v>Valdas PAPEČKYS</v>
      </c>
      <c r="J194" s="76" t="str">
        <f t="shared" si="20"/>
        <v>C|MAJAMIS|6</v>
      </c>
      <c r="K194" s="77" t="str">
        <f t="shared" si="21"/>
        <v/>
      </c>
      <c r="L194" s="78" t="str">
        <f t="shared" si="22"/>
        <v/>
      </c>
      <c r="M194" s="4"/>
      <c r="N194" s="79">
        <f>IF(OR($A194="",$B194=""),0,IF(COUNTIFS($A$5:$A194,$A194,$B$5:$B194,$B194)=1,1,0))</f>
        <v>0</v>
      </c>
      <c r="O194" s="79" t="str">
        <f t="shared" si="23"/>
        <v/>
      </c>
      <c r="P194" s="79" t="str">
        <f t="shared" si="24"/>
        <v/>
      </c>
      <c r="AL194" s="89" t="str">
        <f t="shared" ca="1" si="25"/>
        <v>ADMIN_Duomenys!$AA$5:$AA$16</v>
      </c>
    </row>
    <row r="195" spans="1:38" x14ac:dyDescent="0.3">
      <c r="A195" s="70" t="s">
        <v>417</v>
      </c>
      <c r="B195" s="71" t="s">
        <v>493</v>
      </c>
      <c r="C195" s="71" t="s">
        <v>494</v>
      </c>
      <c r="D195" s="71" t="s">
        <v>495</v>
      </c>
      <c r="E195" s="72">
        <v>8</v>
      </c>
      <c r="F195" s="73" t="s">
        <v>268</v>
      </c>
      <c r="G195" s="74"/>
      <c r="H195" s="75">
        <f t="shared" si="18"/>
        <v>2</v>
      </c>
      <c r="I195" s="16" t="str">
        <f t="shared" si="19"/>
        <v>Ingrida JUŠKAITĖ</v>
      </c>
      <c r="J195" s="76" t="str">
        <f t="shared" si="20"/>
        <v>C|PINUS MARIS|2</v>
      </c>
      <c r="K195" s="77" t="str">
        <f t="shared" si="21"/>
        <v/>
      </c>
      <c r="L195" s="78" t="str">
        <f t="shared" si="22"/>
        <v/>
      </c>
      <c r="M195" s="4"/>
      <c r="N195" s="79">
        <f>IF(OR($A195="",$B195=""),0,IF(COUNTIFS($A$5:$A195,$A195,$B$5:$B195,$B195)=1,1,0))</f>
        <v>1</v>
      </c>
      <c r="O195" s="79">
        <f t="shared" si="23"/>
        <v>8</v>
      </c>
      <c r="P195" s="79" t="str">
        <f t="shared" si="24"/>
        <v/>
      </c>
      <c r="AL195" s="89" t="str">
        <f t="shared" ca="1" si="25"/>
        <v>ADMIN_Duomenys!$AA$5:$AA$16</v>
      </c>
    </row>
    <row r="196" spans="1:38" x14ac:dyDescent="0.3">
      <c r="A196" s="70" t="s">
        <v>417</v>
      </c>
      <c r="B196" s="71" t="s">
        <v>493</v>
      </c>
      <c r="C196" s="71" t="s">
        <v>194</v>
      </c>
      <c r="D196" s="71" t="s">
        <v>496</v>
      </c>
      <c r="E196" s="72">
        <v>5</v>
      </c>
      <c r="F196" s="73" t="s">
        <v>268</v>
      </c>
      <c r="G196" s="74"/>
      <c r="H196" s="75">
        <f t="shared" si="18"/>
        <v>3</v>
      </c>
      <c r="I196" s="16" t="str">
        <f t="shared" si="19"/>
        <v>Kęstutis KANDROTAS</v>
      </c>
      <c r="J196" s="76" t="str">
        <f t="shared" si="20"/>
        <v>C|PINUS MARIS|3</v>
      </c>
      <c r="K196" s="77" t="str">
        <f t="shared" si="21"/>
        <v/>
      </c>
      <c r="L196" s="78" t="str">
        <f t="shared" si="22"/>
        <v/>
      </c>
      <c r="M196" s="4"/>
      <c r="N196" s="79">
        <f>IF(OR($A196="",$B196=""),0,IF(COUNTIFS($A$5:$A196,$A196,$B$5:$B196,$B196)=1,1,0))</f>
        <v>0</v>
      </c>
      <c r="O196" s="79" t="str">
        <f t="shared" si="23"/>
        <v/>
      </c>
      <c r="P196" s="79" t="str">
        <f t="shared" si="24"/>
        <v/>
      </c>
      <c r="AL196" s="89" t="str">
        <f t="shared" ca="1" si="25"/>
        <v>ADMIN_Duomenys!$AA$5:$AA$16</v>
      </c>
    </row>
    <row r="197" spans="1:38" x14ac:dyDescent="0.3">
      <c r="A197" s="70" t="s">
        <v>417</v>
      </c>
      <c r="B197" s="71" t="s">
        <v>493</v>
      </c>
      <c r="C197" s="71" t="s">
        <v>249</v>
      </c>
      <c r="D197" s="71" t="s">
        <v>497</v>
      </c>
      <c r="E197" s="72">
        <v>5</v>
      </c>
      <c r="F197" s="73" t="s">
        <v>268</v>
      </c>
      <c r="G197" s="74"/>
      <c r="H197" s="75">
        <f t="shared" ref="H197:H260" si="26">IF(OR($A197="",$B197="",$I197=""),"",SUMPRODUCT(($A$5:$A$604=$A197)*($B$5:$B$604=$B197)*($I$5:$I$604&lt;&gt;"")*($I$5:$I$604&lt;$I197))+SUMPRODUCT(($A$5:$A$604=$A197)*($B$5:$B$604=$B197)*($I$5:$I$604=$I197)*(ROW($I$5:$I$604)&lt;=ROW($I197))))</f>
        <v>4</v>
      </c>
      <c r="I197" s="16" t="str">
        <f t="shared" ref="I197:I260" si="27">IF(TRIM($C197&amp;$D197)="","",PROPER(TRIM($C197))&amp;" "&amp;UPPER(TRIM($D197)))</f>
        <v>Raimondas MARTINKUS</v>
      </c>
      <c r="J197" s="76" t="str">
        <f t="shared" ref="J197:J260" si="28">IF(OR($A197="",$B197="",$H197=""),"",$A197&amp;"|"&amp;$B197&amp;"|"&amp;$H197)</f>
        <v>C|PINUS MARIS|4</v>
      </c>
      <c r="K197" s="77" t="str">
        <f t="shared" ref="K197:K260" si="29">IF(COUNTA($A197:$E197)=0,"",IF($A197="","← Nurodykite lygą (A / B / C)",IF($B197="","← Nurodykite komandą",IF(TRIM($C197)="","← Nurodykite vardą",IF(TRIM($D197)="","← Nurodykite pavardę",IF(NOT(ISNUMBER($E197)),"← Nurodykite Hcp (jei neturi – 0)",IF(AND(OR($A197="B",$A197="C"),NOT(OR($F197="Rytai",$F197="Vakarai"))),"← Nurodykite pogrupį (Rytai / Vakarai)",IF(AND($A197="A",OR($F197="Rytai",$F197="Vakarai")),"← A lygos komandos į pogrupius neskirstomos",IF(COUNTIFS($A$5:$A$604,$A197,$B$5:$B$604,$B197,$F$5:$F$604,"&lt;&gt;"&amp;$F197)&gt;0,"← Šios komandos pogrupis nurodytas nevienodai",IF($H197&gt;8,"← Šioje komandoje jau daugiau nei 8 žaidėjai",""))))))))))</f>
        <v/>
      </c>
      <c r="L197" s="78" t="str">
        <f t="shared" ref="L197:L260" si="30">IF($I197="","",IF(COUNTIF($I$5:$I$604,$I197)&gt;1,"ℹ tokių pačių vardų sąraše: "&amp;COUNTIF($I$5:$I$604,$I197),IF(AND($B197&lt;&gt;"",COUNTIFS($A$5:$A$604,$A197,$B$5:$B$604,$B197)&lt;3),"ℹ šioje komandoje tik "&amp;COUNTIFS($A$5:$A$604,$A197,$B$5:$B$604,$B197)&amp;" žaid. – ar ne rašybos klaida?","")))</f>
        <v/>
      </c>
      <c r="M197" s="4"/>
      <c r="N197" s="79">
        <f>IF(OR($A197="",$B197=""),0,IF(COUNTIFS($A$5:$A197,$A197,$B$5:$B197,$B197)=1,1,0))</f>
        <v>0</v>
      </c>
      <c r="O197" s="79" t="str">
        <f t="shared" ref="O197:O260" si="31">IF($N197&lt;&gt;1,"",1+SUMPRODUCT(($A$5:$A$604=$A197)*($B$5:$B$604&lt;$B197)*($N$5:$N$604=1)))</f>
        <v/>
      </c>
      <c r="P197" s="79" t="str">
        <f t="shared" ref="P197:P260" si="32">IF(OR($N197&lt;&gt;1,$A197&lt;&gt;Lyga,AND(Pogrupis&lt;&gt;"",$F197&lt;&gt;Pogrupis)),"",1+SUMPRODUCT(($A$5:$A$604=Lyga)*($N$5:$N$604=1)*($B$5:$B$604&lt;$B197)*((($F$5:$F$604=Pogrupis)+(Pogrupis=""))&gt;0)))</f>
        <v/>
      </c>
      <c r="AL197" s="89" t="str">
        <f t="shared" ref="AL197:AL260" ca="1" si="33">IF(NOT(OR($A197="A",$A197="B",$A197="C")),"","ADMIN_Duomenys!$"&amp;IF($A197="A","W",IF($A197="B","Y","AA"))&amp;"$5:$"&amp;IF($A197="A","W",IF($A197="B","Y","AA"))&amp;"$"&amp;(4+MAX(1,COUNTIF(INDIRECT("ADMIN_Duomenys!$"&amp;IF($A197="A","W",IF($A197="B","Y","AA"))&amp;"$5:$"&amp;IF($A197="A","W",IF($A197="B","Y","AA"))&amp;"$44"),"?*"))))</f>
        <v>ADMIN_Duomenys!$AA$5:$AA$16</v>
      </c>
    </row>
    <row r="198" spans="1:38" x14ac:dyDescent="0.3">
      <c r="A198" s="70" t="s">
        <v>417</v>
      </c>
      <c r="B198" s="71" t="s">
        <v>493</v>
      </c>
      <c r="C198" s="71" t="s">
        <v>487</v>
      </c>
      <c r="D198" s="71" t="s">
        <v>498</v>
      </c>
      <c r="E198" s="72">
        <v>5</v>
      </c>
      <c r="F198" s="73" t="s">
        <v>268</v>
      </c>
      <c r="G198" s="74"/>
      <c r="H198" s="75">
        <f t="shared" si="26"/>
        <v>5</v>
      </c>
      <c r="I198" s="16" t="str">
        <f t="shared" si="27"/>
        <v>Remigijus NAUSĖDA</v>
      </c>
      <c r="J198" s="76" t="str">
        <f t="shared" si="28"/>
        <v>C|PINUS MARIS|5</v>
      </c>
      <c r="K198" s="77" t="str">
        <f t="shared" si="29"/>
        <v/>
      </c>
      <c r="L198" s="78" t="str">
        <f t="shared" si="30"/>
        <v/>
      </c>
      <c r="M198" s="4"/>
      <c r="N198" s="79">
        <f>IF(OR($A198="",$B198=""),0,IF(COUNTIFS($A$5:$A198,$A198,$B$5:$B198,$B198)=1,1,0))</f>
        <v>0</v>
      </c>
      <c r="O198" s="79" t="str">
        <f t="shared" si="31"/>
        <v/>
      </c>
      <c r="P198" s="79" t="str">
        <f t="shared" si="32"/>
        <v/>
      </c>
      <c r="AL198" s="89" t="str">
        <f t="shared" ca="1" si="33"/>
        <v>ADMIN_Duomenys!$AA$5:$AA$16</v>
      </c>
    </row>
    <row r="199" spans="1:38" x14ac:dyDescent="0.3">
      <c r="A199" s="70" t="s">
        <v>417</v>
      </c>
      <c r="B199" s="71" t="s">
        <v>493</v>
      </c>
      <c r="C199" s="71" t="s">
        <v>303</v>
      </c>
      <c r="D199" s="71" t="s">
        <v>499</v>
      </c>
      <c r="E199" s="72">
        <v>0</v>
      </c>
      <c r="F199" s="73" t="s">
        <v>268</v>
      </c>
      <c r="G199" s="74"/>
      <c r="H199" s="75">
        <f t="shared" si="26"/>
        <v>1</v>
      </c>
      <c r="I199" s="16" t="str">
        <f t="shared" si="27"/>
        <v>Edvinas RUZGAILA</v>
      </c>
      <c r="J199" s="76" t="str">
        <f t="shared" si="28"/>
        <v>C|PINUS MARIS|1</v>
      </c>
      <c r="K199" s="77" t="str">
        <f t="shared" si="29"/>
        <v/>
      </c>
      <c r="L199" s="78" t="str">
        <f t="shared" si="30"/>
        <v/>
      </c>
      <c r="M199" s="4"/>
      <c r="N199" s="79">
        <f>IF(OR($A199="",$B199=""),0,IF(COUNTIFS($A$5:$A199,$A199,$B$5:$B199,$B199)=1,1,0))</f>
        <v>0</v>
      </c>
      <c r="O199" s="79" t="str">
        <f t="shared" si="31"/>
        <v/>
      </c>
      <c r="P199" s="79" t="str">
        <f t="shared" si="32"/>
        <v/>
      </c>
      <c r="AL199" s="89" t="str">
        <f t="shared" ca="1" si="33"/>
        <v>ADMIN_Duomenys!$AA$5:$AA$16</v>
      </c>
    </row>
    <row r="200" spans="1:38" x14ac:dyDescent="0.3">
      <c r="A200" s="70" t="s">
        <v>417</v>
      </c>
      <c r="B200" s="71" t="s">
        <v>493</v>
      </c>
      <c r="C200" s="71" t="s">
        <v>500</v>
      </c>
      <c r="D200" s="71" t="s">
        <v>501</v>
      </c>
      <c r="E200" s="72">
        <v>0</v>
      </c>
      <c r="F200" s="73" t="s">
        <v>268</v>
      </c>
      <c r="G200" s="74"/>
      <c r="H200" s="75">
        <f t="shared" si="26"/>
        <v>6</v>
      </c>
      <c r="I200" s="16" t="str">
        <f t="shared" si="27"/>
        <v>Vidas VALINČIUS</v>
      </c>
      <c r="J200" s="76" t="str">
        <f t="shared" si="28"/>
        <v>C|PINUS MARIS|6</v>
      </c>
      <c r="K200" s="77" t="str">
        <f t="shared" si="29"/>
        <v/>
      </c>
      <c r="L200" s="78" t="str">
        <f t="shared" si="30"/>
        <v/>
      </c>
      <c r="M200" s="4"/>
      <c r="N200" s="79">
        <f>IF(OR($A200="",$B200=""),0,IF(COUNTIFS($A$5:$A200,$A200,$B$5:$B200,$B200)=1,1,0))</f>
        <v>0</v>
      </c>
      <c r="O200" s="79" t="str">
        <f t="shared" si="31"/>
        <v/>
      </c>
      <c r="P200" s="79" t="str">
        <f t="shared" si="32"/>
        <v/>
      </c>
      <c r="AL200" s="89" t="str">
        <f t="shared" ca="1" si="33"/>
        <v>ADMIN_Duomenys!$AA$5:$AA$16</v>
      </c>
    </row>
    <row r="201" spans="1:38" x14ac:dyDescent="0.3">
      <c r="A201" s="70" t="s">
        <v>417</v>
      </c>
      <c r="B201" s="71" t="s">
        <v>502</v>
      </c>
      <c r="C201" s="71" t="s">
        <v>170</v>
      </c>
      <c r="D201" s="71" t="s">
        <v>175</v>
      </c>
      <c r="E201" s="72">
        <v>0</v>
      </c>
      <c r="F201" s="73" t="s">
        <v>256</v>
      </c>
      <c r="G201" s="74"/>
      <c r="H201" s="75">
        <f t="shared" si="26"/>
        <v>3</v>
      </c>
      <c r="I201" s="16" t="str">
        <f t="shared" si="27"/>
        <v>Mantas FIODOROVAS</v>
      </c>
      <c r="J201" s="76" t="str">
        <f t="shared" si="28"/>
        <v>C|SPLIT HAPPENS|3</v>
      </c>
      <c r="K201" s="77" t="str">
        <f t="shared" si="29"/>
        <v/>
      </c>
      <c r="L201" s="78" t="str">
        <f t="shared" si="30"/>
        <v/>
      </c>
      <c r="M201" s="4"/>
      <c r="N201" s="79">
        <f>IF(OR($A201="",$B201=""),0,IF(COUNTIFS($A$5:$A201,$A201,$B$5:$B201,$B201)=1,1,0))</f>
        <v>1</v>
      </c>
      <c r="O201" s="79">
        <f t="shared" si="31"/>
        <v>9</v>
      </c>
      <c r="P201" s="79" t="str">
        <f t="shared" si="32"/>
        <v/>
      </c>
      <c r="AL201" s="89" t="str">
        <f t="shared" ca="1" si="33"/>
        <v>ADMIN_Duomenys!$AA$5:$AA$16</v>
      </c>
    </row>
    <row r="202" spans="1:38" x14ac:dyDescent="0.3">
      <c r="A202" s="70" t="s">
        <v>417</v>
      </c>
      <c r="B202" s="71" t="s">
        <v>502</v>
      </c>
      <c r="C202" s="71" t="s">
        <v>503</v>
      </c>
      <c r="D202" s="71" t="s">
        <v>504</v>
      </c>
      <c r="E202" s="72">
        <v>8</v>
      </c>
      <c r="F202" s="73" t="s">
        <v>256</v>
      </c>
      <c r="G202" s="74"/>
      <c r="H202" s="75">
        <f t="shared" si="26"/>
        <v>6</v>
      </c>
      <c r="I202" s="16" t="str">
        <f t="shared" si="27"/>
        <v>Vilija JAKŠTAITĖ</v>
      </c>
      <c r="J202" s="76" t="str">
        <f t="shared" si="28"/>
        <v>C|SPLIT HAPPENS|6</v>
      </c>
      <c r="K202" s="77" t="str">
        <f t="shared" si="29"/>
        <v/>
      </c>
      <c r="L202" s="78" t="str">
        <f t="shared" si="30"/>
        <v/>
      </c>
      <c r="M202" s="4"/>
      <c r="N202" s="79">
        <f>IF(OR($A202="",$B202=""),0,IF(COUNTIFS($A$5:$A202,$A202,$B$5:$B202,$B202)=1,1,0))</f>
        <v>0</v>
      </c>
      <c r="O202" s="79" t="str">
        <f t="shared" si="31"/>
        <v/>
      </c>
      <c r="P202" s="79" t="str">
        <f t="shared" si="32"/>
        <v/>
      </c>
      <c r="AL202" s="89" t="str">
        <f t="shared" ca="1" si="33"/>
        <v>ADMIN_Duomenys!$AA$5:$AA$16</v>
      </c>
    </row>
    <row r="203" spans="1:38" x14ac:dyDescent="0.3">
      <c r="A203" s="70" t="s">
        <v>417</v>
      </c>
      <c r="B203" s="71" t="s">
        <v>502</v>
      </c>
      <c r="C203" s="71" t="s">
        <v>505</v>
      </c>
      <c r="D203" s="71" t="s">
        <v>506</v>
      </c>
      <c r="E203" s="72">
        <v>0</v>
      </c>
      <c r="F203" s="73" t="s">
        <v>256</v>
      </c>
      <c r="G203" s="74"/>
      <c r="H203" s="75">
        <f t="shared" si="26"/>
        <v>5</v>
      </c>
      <c r="I203" s="16" t="str">
        <f t="shared" si="27"/>
        <v>Rimas MOISEVIČIUS</v>
      </c>
      <c r="J203" s="76" t="str">
        <f t="shared" si="28"/>
        <v>C|SPLIT HAPPENS|5</v>
      </c>
      <c r="K203" s="77" t="str">
        <f t="shared" si="29"/>
        <v/>
      </c>
      <c r="L203" s="78" t="str">
        <f t="shared" si="30"/>
        <v/>
      </c>
      <c r="M203" s="4"/>
      <c r="N203" s="79">
        <f>IF(OR($A203="",$B203=""),0,IF(COUNTIFS($A$5:$A203,$A203,$B$5:$B203,$B203)=1,1,0))</f>
        <v>0</v>
      </c>
      <c r="O203" s="79" t="str">
        <f t="shared" si="31"/>
        <v/>
      </c>
      <c r="P203" s="79" t="str">
        <f t="shared" si="32"/>
        <v/>
      </c>
      <c r="AL203" s="89" t="str">
        <f t="shared" ca="1" si="33"/>
        <v>ADMIN_Duomenys!$AA$5:$AA$16</v>
      </c>
    </row>
    <row r="204" spans="1:38" x14ac:dyDescent="0.3">
      <c r="A204" s="70" t="s">
        <v>417</v>
      </c>
      <c r="B204" s="71" t="s">
        <v>502</v>
      </c>
      <c r="C204" s="71" t="s">
        <v>507</v>
      </c>
      <c r="D204" s="71" t="s">
        <v>508</v>
      </c>
      <c r="E204" s="72">
        <v>0</v>
      </c>
      <c r="F204" s="73" t="s">
        <v>256</v>
      </c>
      <c r="G204" s="74"/>
      <c r="H204" s="75">
        <f t="shared" si="26"/>
        <v>4</v>
      </c>
      <c r="I204" s="16" t="str">
        <f t="shared" si="27"/>
        <v>Renatas MOTIEJŪNAS</v>
      </c>
      <c r="J204" s="76" t="str">
        <f t="shared" si="28"/>
        <v>C|SPLIT HAPPENS|4</v>
      </c>
      <c r="K204" s="77" t="str">
        <f t="shared" si="29"/>
        <v/>
      </c>
      <c r="L204" s="78" t="str">
        <f t="shared" si="30"/>
        <v/>
      </c>
      <c r="M204" s="4"/>
      <c r="N204" s="79">
        <f>IF(OR($A204="",$B204=""),0,IF(COUNTIFS($A$5:$A204,$A204,$B$5:$B204,$B204)=1,1,0))</f>
        <v>0</v>
      </c>
      <c r="O204" s="79" t="str">
        <f t="shared" si="31"/>
        <v/>
      </c>
      <c r="P204" s="79" t="str">
        <f t="shared" si="32"/>
        <v/>
      </c>
      <c r="AL204" s="89" t="str">
        <f t="shared" ca="1" si="33"/>
        <v>ADMIN_Duomenys!$AA$5:$AA$16</v>
      </c>
    </row>
    <row r="205" spans="1:38" x14ac:dyDescent="0.3">
      <c r="A205" s="70" t="s">
        <v>417</v>
      </c>
      <c r="B205" s="71" t="s">
        <v>502</v>
      </c>
      <c r="C205" s="71" t="s">
        <v>509</v>
      </c>
      <c r="D205" s="71" t="s">
        <v>510</v>
      </c>
      <c r="E205" s="72">
        <v>8</v>
      </c>
      <c r="F205" s="73" t="s">
        <v>256</v>
      </c>
      <c r="G205" s="74"/>
      <c r="H205" s="75">
        <f t="shared" si="26"/>
        <v>2</v>
      </c>
      <c r="I205" s="16" t="str">
        <f t="shared" si="27"/>
        <v>Lilija STANKEVIČIENĖ</v>
      </c>
      <c r="J205" s="76" t="str">
        <f t="shared" si="28"/>
        <v>C|SPLIT HAPPENS|2</v>
      </c>
      <c r="K205" s="77" t="str">
        <f t="shared" si="29"/>
        <v/>
      </c>
      <c r="L205" s="78" t="str">
        <f t="shared" si="30"/>
        <v/>
      </c>
      <c r="M205" s="4"/>
      <c r="N205" s="79">
        <f>IF(OR($A205="",$B205=""),0,IF(COUNTIFS($A$5:$A205,$A205,$B$5:$B205,$B205)=1,1,0))</f>
        <v>0</v>
      </c>
      <c r="O205" s="79" t="str">
        <f t="shared" si="31"/>
        <v/>
      </c>
      <c r="P205" s="79" t="str">
        <f t="shared" si="32"/>
        <v/>
      </c>
      <c r="AL205" s="89" t="str">
        <f t="shared" ca="1" si="33"/>
        <v>ADMIN_Duomenys!$AA$5:$AA$16</v>
      </c>
    </row>
    <row r="206" spans="1:38" x14ac:dyDescent="0.3">
      <c r="A206" s="70" t="s">
        <v>417</v>
      </c>
      <c r="B206" s="71" t="s">
        <v>502</v>
      </c>
      <c r="C206" s="71" t="s">
        <v>511</v>
      </c>
      <c r="D206" s="71" t="s">
        <v>512</v>
      </c>
      <c r="E206" s="72">
        <v>8</v>
      </c>
      <c r="F206" s="73" t="s">
        <v>256</v>
      </c>
      <c r="G206" s="74"/>
      <c r="H206" s="75">
        <f t="shared" si="26"/>
        <v>1</v>
      </c>
      <c r="I206" s="16" t="str">
        <f t="shared" si="27"/>
        <v>Anastasiya ZHUKAVA</v>
      </c>
      <c r="J206" s="76" t="str">
        <f t="shared" si="28"/>
        <v>C|SPLIT HAPPENS|1</v>
      </c>
      <c r="K206" s="77" t="str">
        <f t="shared" si="29"/>
        <v/>
      </c>
      <c r="L206" s="78" t="str">
        <f t="shared" si="30"/>
        <v/>
      </c>
      <c r="M206" s="4"/>
      <c r="N206" s="79">
        <f>IF(OR($A206="",$B206=""),0,IF(COUNTIFS($A$5:$A206,$A206,$B$5:$B206,$B206)=1,1,0))</f>
        <v>0</v>
      </c>
      <c r="O206" s="79" t="str">
        <f t="shared" si="31"/>
        <v/>
      </c>
      <c r="P206" s="79" t="str">
        <f t="shared" si="32"/>
        <v/>
      </c>
      <c r="AL206" s="89" t="str">
        <f t="shared" ca="1" si="33"/>
        <v>ADMIN_Duomenys!$AA$5:$AA$16</v>
      </c>
    </row>
    <row r="207" spans="1:38" x14ac:dyDescent="0.3">
      <c r="A207" s="70" t="s">
        <v>417</v>
      </c>
      <c r="B207" s="71" t="s">
        <v>513</v>
      </c>
      <c r="C207" s="71" t="s">
        <v>398</v>
      </c>
      <c r="D207" s="71" t="s">
        <v>514</v>
      </c>
      <c r="E207" s="72">
        <v>0</v>
      </c>
      <c r="F207" s="73" t="s">
        <v>256</v>
      </c>
      <c r="G207" s="74"/>
      <c r="H207" s="75">
        <f t="shared" si="26"/>
        <v>5</v>
      </c>
      <c r="I207" s="16" t="str">
        <f t="shared" si="27"/>
        <v>Romas BIKAS</v>
      </c>
      <c r="J207" s="76" t="str">
        <f t="shared" si="28"/>
        <v>C|STRAIKAS+|5</v>
      </c>
      <c r="K207" s="77" t="str">
        <f t="shared" si="29"/>
        <v/>
      </c>
      <c r="L207" s="78" t="str">
        <f t="shared" si="30"/>
        <v/>
      </c>
      <c r="M207" s="4"/>
      <c r="N207" s="79">
        <f>IF(OR($A207="",$B207=""),0,IF(COUNTIFS($A$5:$A207,$A207,$B$5:$B207,$B207)=1,1,0))</f>
        <v>1</v>
      </c>
      <c r="O207" s="79">
        <f t="shared" si="31"/>
        <v>10</v>
      </c>
      <c r="P207" s="79" t="str">
        <f t="shared" si="32"/>
        <v/>
      </c>
      <c r="AL207" s="89" t="str">
        <f t="shared" ca="1" si="33"/>
        <v>ADMIN_Duomenys!$AA$5:$AA$16</v>
      </c>
    </row>
    <row r="208" spans="1:38" x14ac:dyDescent="0.3">
      <c r="A208" s="70" t="s">
        <v>417</v>
      </c>
      <c r="B208" s="71" t="s">
        <v>513</v>
      </c>
      <c r="C208" s="71" t="s">
        <v>515</v>
      </c>
      <c r="D208" s="71" t="s">
        <v>516</v>
      </c>
      <c r="E208" s="72">
        <v>8</v>
      </c>
      <c r="F208" s="73" t="s">
        <v>256</v>
      </c>
      <c r="G208" s="74"/>
      <c r="H208" s="75">
        <f t="shared" si="26"/>
        <v>1</v>
      </c>
      <c r="I208" s="16" t="str">
        <f t="shared" si="27"/>
        <v>Edita BIKIENĖ</v>
      </c>
      <c r="J208" s="76" t="str">
        <f t="shared" si="28"/>
        <v>C|STRAIKAS+|1</v>
      </c>
      <c r="K208" s="77" t="str">
        <f t="shared" si="29"/>
        <v/>
      </c>
      <c r="L208" s="78" t="str">
        <f t="shared" si="30"/>
        <v/>
      </c>
      <c r="M208" s="4"/>
      <c r="N208" s="79">
        <f>IF(OR($A208="",$B208=""),0,IF(COUNTIFS($A$5:$A208,$A208,$B$5:$B208,$B208)=1,1,0))</f>
        <v>0</v>
      </c>
      <c r="O208" s="79" t="str">
        <f t="shared" si="31"/>
        <v/>
      </c>
      <c r="P208" s="79" t="str">
        <f t="shared" si="32"/>
        <v/>
      </c>
      <c r="AL208" s="89" t="str">
        <f t="shared" ca="1" si="33"/>
        <v>ADMIN_Duomenys!$AA$5:$AA$16</v>
      </c>
    </row>
    <row r="209" spans="1:38" x14ac:dyDescent="0.3">
      <c r="A209" s="70" t="s">
        <v>417</v>
      </c>
      <c r="B209" s="71" t="s">
        <v>513</v>
      </c>
      <c r="C209" s="71" t="s">
        <v>517</v>
      </c>
      <c r="D209" s="71" t="s">
        <v>518</v>
      </c>
      <c r="E209" s="72">
        <v>0</v>
      </c>
      <c r="F209" s="73" t="s">
        <v>256</v>
      </c>
      <c r="G209" s="74"/>
      <c r="H209" s="75">
        <f t="shared" si="26"/>
        <v>2</v>
      </c>
      <c r="I209" s="16" t="str">
        <f t="shared" si="27"/>
        <v>Gediminas GUŽYS</v>
      </c>
      <c r="J209" s="76" t="str">
        <f t="shared" si="28"/>
        <v>C|STRAIKAS+|2</v>
      </c>
      <c r="K209" s="77" t="str">
        <f t="shared" si="29"/>
        <v/>
      </c>
      <c r="L209" s="78" t="str">
        <f t="shared" si="30"/>
        <v/>
      </c>
      <c r="M209" s="4"/>
      <c r="N209" s="79">
        <f>IF(OR($A209="",$B209=""),0,IF(COUNTIFS($A$5:$A209,$A209,$B$5:$B209,$B209)=1,1,0))</f>
        <v>0</v>
      </c>
      <c r="O209" s="79" t="str">
        <f t="shared" si="31"/>
        <v/>
      </c>
      <c r="P209" s="79" t="str">
        <f t="shared" si="32"/>
        <v/>
      </c>
      <c r="AL209" s="89" t="str">
        <f t="shared" ca="1" si="33"/>
        <v>ADMIN_Duomenys!$AA$5:$AA$16</v>
      </c>
    </row>
    <row r="210" spans="1:38" x14ac:dyDescent="0.3">
      <c r="A210" s="70" t="s">
        <v>417</v>
      </c>
      <c r="B210" s="71" t="s">
        <v>513</v>
      </c>
      <c r="C210" s="71" t="s">
        <v>519</v>
      </c>
      <c r="D210" s="71" t="s">
        <v>520</v>
      </c>
      <c r="E210" s="72">
        <v>8</v>
      </c>
      <c r="F210" s="73" t="s">
        <v>256</v>
      </c>
      <c r="G210" s="74"/>
      <c r="H210" s="75">
        <f t="shared" si="26"/>
        <v>3</v>
      </c>
      <c r="I210" s="16" t="str">
        <f t="shared" si="27"/>
        <v>Guoda IVOŠKAITĖ</v>
      </c>
      <c r="J210" s="76" t="str">
        <f t="shared" si="28"/>
        <v>C|STRAIKAS+|3</v>
      </c>
      <c r="K210" s="77" t="str">
        <f t="shared" si="29"/>
        <v/>
      </c>
      <c r="L210" s="78" t="str">
        <f t="shared" si="30"/>
        <v/>
      </c>
      <c r="M210" s="4"/>
      <c r="N210" s="79">
        <f>IF(OR($A210="",$B210=""),0,IF(COUNTIFS($A$5:$A210,$A210,$B$5:$B210,$B210)=1,1,0))</f>
        <v>0</v>
      </c>
      <c r="O210" s="79" t="str">
        <f t="shared" si="31"/>
        <v/>
      </c>
      <c r="P210" s="79" t="str">
        <f t="shared" si="32"/>
        <v/>
      </c>
      <c r="AL210" s="89" t="str">
        <f t="shared" ca="1" si="33"/>
        <v>ADMIN_Duomenys!$AA$5:$AA$16</v>
      </c>
    </row>
    <row r="211" spans="1:38" x14ac:dyDescent="0.3">
      <c r="A211" s="70" t="s">
        <v>417</v>
      </c>
      <c r="B211" s="71" t="s">
        <v>513</v>
      </c>
      <c r="C211" s="71" t="s">
        <v>521</v>
      </c>
      <c r="D211" s="71" t="s">
        <v>522</v>
      </c>
      <c r="E211" s="72">
        <v>14</v>
      </c>
      <c r="F211" s="73" t="s">
        <v>256</v>
      </c>
      <c r="G211" s="74"/>
      <c r="H211" s="75">
        <f t="shared" si="26"/>
        <v>6</v>
      </c>
      <c r="I211" s="16" t="str">
        <f t="shared" si="27"/>
        <v>Romualdas SKABICKAS</v>
      </c>
      <c r="J211" s="76" t="str">
        <f t="shared" si="28"/>
        <v>C|STRAIKAS+|6</v>
      </c>
      <c r="K211" s="77" t="str">
        <f t="shared" si="29"/>
        <v/>
      </c>
      <c r="L211" s="78" t="str">
        <f t="shared" si="30"/>
        <v/>
      </c>
      <c r="M211" s="4"/>
      <c r="N211" s="79">
        <f>IF(OR($A211="",$B211=""),0,IF(COUNTIFS($A$5:$A211,$A211,$B$5:$B211,$B211)=1,1,0))</f>
        <v>0</v>
      </c>
      <c r="O211" s="79" t="str">
        <f t="shared" si="31"/>
        <v/>
      </c>
      <c r="P211" s="79" t="str">
        <f t="shared" si="32"/>
        <v/>
      </c>
      <c r="AL211" s="89" t="str">
        <f t="shared" ca="1" si="33"/>
        <v>ADMIN_Duomenys!$AA$5:$AA$16</v>
      </c>
    </row>
    <row r="212" spans="1:38" x14ac:dyDescent="0.3">
      <c r="A212" s="70" t="s">
        <v>417</v>
      </c>
      <c r="B212" s="71" t="s">
        <v>513</v>
      </c>
      <c r="C212" s="71" t="s">
        <v>523</v>
      </c>
      <c r="D212" s="71" t="s">
        <v>524</v>
      </c>
      <c r="E212" s="72">
        <v>18</v>
      </c>
      <c r="F212" s="73" t="s">
        <v>256</v>
      </c>
      <c r="G212" s="74"/>
      <c r="H212" s="75">
        <f t="shared" si="26"/>
        <v>4</v>
      </c>
      <c r="I212" s="16" t="str">
        <f t="shared" si="27"/>
        <v>Janina SKABICKIENĖ</v>
      </c>
      <c r="J212" s="76" t="str">
        <f t="shared" si="28"/>
        <v>C|STRAIKAS+|4</v>
      </c>
      <c r="K212" s="77" t="str">
        <f t="shared" si="29"/>
        <v/>
      </c>
      <c r="L212" s="78" t="str">
        <f t="shared" si="30"/>
        <v/>
      </c>
      <c r="M212" s="4"/>
      <c r="N212" s="79">
        <f>IF(OR($A212="",$B212=""),0,IF(COUNTIFS($A$5:$A212,$A212,$B$5:$B212,$B212)=1,1,0))</f>
        <v>0</v>
      </c>
      <c r="O212" s="79" t="str">
        <f t="shared" si="31"/>
        <v/>
      </c>
      <c r="P212" s="79" t="str">
        <f t="shared" si="32"/>
        <v/>
      </c>
      <c r="AL212" s="89" t="str">
        <f t="shared" ca="1" si="33"/>
        <v>ADMIN_Duomenys!$AA$5:$AA$16</v>
      </c>
    </row>
    <row r="213" spans="1:38" x14ac:dyDescent="0.3">
      <c r="A213" s="70" t="s">
        <v>417</v>
      </c>
      <c r="B213" s="71" t="s">
        <v>513</v>
      </c>
      <c r="C213" s="71" t="s">
        <v>525</v>
      </c>
      <c r="D213" s="71" t="s">
        <v>526</v>
      </c>
      <c r="E213" s="72">
        <v>0</v>
      </c>
      <c r="F213" s="73" t="s">
        <v>256</v>
      </c>
      <c r="G213" s="74"/>
      <c r="H213" s="75">
        <f t="shared" si="26"/>
        <v>7</v>
      </c>
      <c r="I213" s="16" t="str">
        <f t="shared" si="27"/>
        <v>Šarūnas SURVILA</v>
      </c>
      <c r="J213" s="76" t="str">
        <f t="shared" si="28"/>
        <v>C|STRAIKAS+|7</v>
      </c>
      <c r="K213" s="77" t="str">
        <f t="shared" si="29"/>
        <v/>
      </c>
      <c r="L213" s="78" t="str">
        <f t="shared" si="30"/>
        <v/>
      </c>
      <c r="M213" s="4"/>
      <c r="N213" s="79">
        <f>IF(OR($A213="",$B213=""),0,IF(COUNTIFS($A$5:$A213,$A213,$B$5:$B213,$B213)=1,1,0))</f>
        <v>0</v>
      </c>
      <c r="O213" s="79" t="str">
        <f t="shared" si="31"/>
        <v/>
      </c>
      <c r="P213" s="79" t="str">
        <f t="shared" si="32"/>
        <v/>
      </c>
      <c r="AL213" s="89" t="str">
        <f t="shared" ca="1" si="33"/>
        <v>ADMIN_Duomenys!$AA$5:$AA$16</v>
      </c>
    </row>
    <row r="214" spans="1:38" x14ac:dyDescent="0.3">
      <c r="A214" s="70" t="s">
        <v>417</v>
      </c>
      <c r="B214" s="71" t="s">
        <v>527</v>
      </c>
      <c r="C214" s="71" t="s">
        <v>414</v>
      </c>
      <c r="D214" s="71" t="s">
        <v>528</v>
      </c>
      <c r="E214" s="72">
        <v>0</v>
      </c>
      <c r="F214" s="73" t="s">
        <v>268</v>
      </c>
      <c r="G214" s="74"/>
      <c r="H214" s="75">
        <f t="shared" si="26"/>
        <v>4</v>
      </c>
      <c r="I214" s="16" t="str">
        <f t="shared" si="27"/>
        <v>Gintautas AKELAITIS</v>
      </c>
      <c r="J214" s="76" t="str">
        <f t="shared" si="28"/>
        <v>C|SŪDUVIAI|4</v>
      </c>
      <c r="K214" s="77" t="str">
        <f t="shared" si="29"/>
        <v/>
      </c>
      <c r="L214" s="78" t="str">
        <f t="shared" si="30"/>
        <v/>
      </c>
      <c r="M214" s="4"/>
      <c r="N214" s="79">
        <f>IF(OR($A214="",$B214=""),0,IF(COUNTIFS($A$5:$A214,$A214,$B$5:$B214,$B214)=1,1,0))</f>
        <v>1</v>
      </c>
      <c r="O214" s="79">
        <f t="shared" si="31"/>
        <v>11</v>
      </c>
      <c r="P214" s="79" t="str">
        <f t="shared" si="32"/>
        <v/>
      </c>
      <c r="AL214" s="89" t="str">
        <f t="shared" ca="1" si="33"/>
        <v>ADMIN_Duomenys!$AA$5:$AA$16</v>
      </c>
    </row>
    <row r="215" spans="1:38" x14ac:dyDescent="0.3">
      <c r="A215" s="70" t="s">
        <v>417</v>
      </c>
      <c r="B215" s="71" t="s">
        <v>527</v>
      </c>
      <c r="C215" s="71" t="s">
        <v>529</v>
      </c>
      <c r="D215" s="71" t="s">
        <v>530</v>
      </c>
      <c r="E215" s="72">
        <v>0</v>
      </c>
      <c r="F215" s="73" t="s">
        <v>268</v>
      </c>
      <c r="G215" s="74"/>
      <c r="H215" s="75">
        <f t="shared" si="26"/>
        <v>2</v>
      </c>
      <c r="I215" s="16" t="str">
        <f t="shared" si="27"/>
        <v>Donatas BALTŪSIS</v>
      </c>
      <c r="J215" s="76" t="str">
        <f t="shared" si="28"/>
        <v>C|SŪDUVIAI|2</v>
      </c>
      <c r="K215" s="77" t="str">
        <f t="shared" si="29"/>
        <v/>
      </c>
      <c r="L215" s="78" t="str">
        <f t="shared" si="30"/>
        <v/>
      </c>
      <c r="M215" s="4"/>
      <c r="N215" s="79">
        <f>IF(OR($A215="",$B215=""),0,IF(COUNTIFS($A$5:$A215,$A215,$B$5:$B215,$B215)=1,1,0))</f>
        <v>0</v>
      </c>
      <c r="O215" s="79" t="str">
        <f t="shared" si="31"/>
        <v/>
      </c>
      <c r="P215" s="79" t="str">
        <f t="shared" si="32"/>
        <v/>
      </c>
      <c r="AL215" s="89" t="str">
        <f t="shared" ca="1" si="33"/>
        <v>ADMIN_Duomenys!$AA$5:$AA$16</v>
      </c>
    </row>
    <row r="216" spans="1:38" x14ac:dyDescent="0.3">
      <c r="A216" s="70" t="s">
        <v>417</v>
      </c>
      <c r="B216" s="71" t="s">
        <v>527</v>
      </c>
      <c r="C216" s="71" t="s">
        <v>383</v>
      </c>
      <c r="D216" s="71" t="s">
        <v>531</v>
      </c>
      <c r="E216" s="72">
        <v>0</v>
      </c>
      <c r="F216" s="73" t="s">
        <v>268</v>
      </c>
      <c r="G216" s="74"/>
      <c r="H216" s="75">
        <f t="shared" si="26"/>
        <v>7</v>
      </c>
      <c r="I216" s="16" t="str">
        <f t="shared" si="27"/>
        <v>Vytautas IVINSKIS</v>
      </c>
      <c r="J216" s="76" t="str">
        <f t="shared" si="28"/>
        <v>C|SŪDUVIAI|7</v>
      </c>
      <c r="K216" s="77" t="str">
        <f t="shared" si="29"/>
        <v/>
      </c>
      <c r="L216" s="78" t="str">
        <f t="shared" si="30"/>
        <v/>
      </c>
      <c r="M216" s="4"/>
      <c r="N216" s="79">
        <f>IF(OR($A216="",$B216=""),0,IF(COUNTIFS($A$5:$A216,$A216,$B$5:$B216,$B216)=1,1,0))</f>
        <v>0</v>
      </c>
      <c r="O216" s="79" t="str">
        <f t="shared" si="31"/>
        <v/>
      </c>
      <c r="P216" s="79" t="str">
        <f t="shared" si="32"/>
        <v/>
      </c>
      <c r="AL216" s="89" t="str">
        <f t="shared" ca="1" si="33"/>
        <v>ADMIN_Duomenys!$AA$5:$AA$16</v>
      </c>
    </row>
    <row r="217" spans="1:38" x14ac:dyDescent="0.3">
      <c r="A217" s="70" t="s">
        <v>417</v>
      </c>
      <c r="B217" s="71" t="s">
        <v>527</v>
      </c>
      <c r="C217" s="71" t="s">
        <v>532</v>
      </c>
      <c r="D217" s="71" t="s">
        <v>533</v>
      </c>
      <c r="E217" s="72">
        <v>8</v>
      </c>
      <c r="F217" s="73" t="s">
        <v>268</v>
      </c>
      <c r="G217" s="74"/>
      <c r="H217" s="75">
        <f t="shared" si="26"/>
        <v>6</v>
      </c>
      <c r="I217" s="16" t="str">
        <f t="shared" si="27"/>
        <v>Sandra MASIUKAITĖ</v>
      </c>
      <c r="J217" s="76" t="str">
        <f t="shared" si="28"/>
        <v>C|SŪDUVIAI|6</v>
      </c>
      <c r="K217" s="77" t="str">
        <f t="shared" si="29"/>
        <v/>
      </c>
      <c r="L217" s="78" t="str">
        <f t="shared" si="30"/>
        <v/>
      </c>
      <c r="M217" s="4"/>
      <c r="N217" s="79">
        <f>IF(OR($A217="",$B217=""),0,IF(COUNTIFS($A$5:$A217,$A217,$B$5:$B217,$B217)=1,1,0))</f>
        <v>0</v>
      </c>
      <c r="O217" s="79" t="str">
        <f t="shared" si="31"/>
        <v/>
      </c>
      <c r="P217" s="79" t="str">
        <f t="shared" si="32"/>
        <v/>
      </c>
      <c r="AL217" s="89" t="str">
        <f t="shared" ca="1" si="33"/>
        <v>ADMIN_Duomenys!$AA$5:$AA$16</v>
      </c>
    </row>
    <row r="218" spans="1:38" x14ac:dyDescent="0.3">
      <c r="A218" s="70" t="s">
        <v>417</v>
      </c>
      <c r="B218" s="71" t="s">
        <v>527</v>
      </c>
      <c r="C218" s="71" t="s">
        <v>534</v>
      </c>
      <c r="D218" s="71" t="s">
        <v>535</v>
      </c>
      <c r="E218" s="72">
        <v>10</v>
      </c>
      <c r="F218" s="73" t="s">
        <v>268</v>
      </c>
      <c r="G218" s="74"/>
      <c r="H218" s="75">
        <f t="shared" si="26"/>
        <v>3</v>
      </c>
      <c r="I218" s="16" t="str">
        <f t="shared" si="27"/>
        <v>Eligijus MIKŠA</v>
      </c>
      <c r="J218" s="76" t="str">
        <f t="shared" si="28"/>
        <v>C|SŪDUVIAI|3</v>
      </c>
      <c r="K218" s="77" t="str">
        <f t="shared" si="29"/>
        <v/>
      </c>
      <c r="L218" s="78" t="str">
        <f t="shared" si="30"/>
        <v/>
      </c>
      <c r="M218" s="4"/>
      <c r="N218" s="79">
        <f>IF(OR($A218="",$B218=""),0,IF(COUNTIFS($A$5:$A218,$A218,$B$5:$B218,$B218)=1,1,0))</f>
        <v>0</v>
      </c>
      <c r="O218" s="79" t="str">
        <f t="shared" si="31"/>
        <v/>
      </c>
      <c r="P218" s="79" t="str">
        <f t="shared" si="32"/>
        <v/>
      </c>
      <c r="AL218" s="89" t="str">
        <f t="shared" ca="1" si="33"/>
        <v>ADMIN_Duomenys!$AA$5:$AA$16</v>
      </c>
    </row>
    <row r="219" spans="1:38" x14ac:dyDescent="0.3">
      <c r="A219" s="70" t="s">
        <v>417</v>
      </c>
      <c r="B219" s="71" t="s">
        <v>527</v>
      </c>
      <c r="C219" s="71" t="s">
        <v>536</v>
      </c>
      <c r="D219" s="71" t="s">
        <v>537</v>
      </c>
      <c r="E219" s="72">
        <v>10</v>
      </c>
      <c r="F219" s="73" t="s">
        <v>268</v>
      </c>
      <c r="G219" s="74"/>
      <c r="H219" s="75">
        <f t="shared" si="26"/>
        <v>1</v>
      </c>
      <c r="I219" s="16" t="str">
        <f t="shared" si="27"/>
        <v>Antanas PAKINKIS</v>
      </c>
      <c r="J219" s="76" t="str">
        <f t="shared" si="28"/>
        <v>C|SŪDUVIAI|1</v>
      </c>
      <c r="K219" s="77" t="str">
        <f t="shared" si="29"/>
        <v/>
      </c>
      <c r="L219" s="78" t="str">
        <f t="shared" si="30"/>
        <v/>
      </c>
      <c r="M219" s="4"/>
      <c r="N219" s="79">
        <f>IF(OR($A219="",$B219=""),0,IF(COUNTIFS($A$5:$A219,$A219,$B$5:$B219,$B219)=1,1,0))</f>
        <v>0</v>
      </c>
      <c r="O219" s="79" t="str">
        <f t="shared" si="31"/>
        <v/>
      </c>
      <c r="P219" s="79" t="str">
        <f t="shared" si="32"/>
        <v/>
      </c>
      <c r="AL219" s="89" t="str">
        <f t="shared" ca="1" si="33"/>
        <v>ADMIN_Duomenys!$AA$5:$AA$16</v>
      </c>
    </row>
    <row r="220" spans="1:38" x14ac:dyDescent="0.3">
      <c r="A220" s="70" t="s">
        <v>417</v>
      </c>
      <c r="B220" s="71" t="s">
        <v>527</v>
      </c>
      <c r="C220" s="71" t="s">
        <v>545</v>
      </c>
      <c r="D220" s="71" t="s">
        <v>546</v>
      </c>
      <c r="E220" s="72">
        <v>8</v>
      </c>
      <c r="F220" s="73" t="s">
        <v>268</v>
      </c>
      <c r="G220" s="74"/>
      <c r="H220" s="75">
        <f t="shared" si="26"/>
        <v>5</v>
      </c>
      <c r="I220" s="16" t="str">
        <f t="shared" si="27"/>
        <v>Lidija STANKŪNAITĖ</v>
      </c>
      <c r="J220" s="76" t="str">
        <f t="shared" si="28"/>
        <v>C|SŪDUVIAI|5</v>
      </c>
      <c r="K220" s="77" t="str">
        <f t="shared" si="29"/>
        <v/>
      </c>
      <c r="L220" s="78" t="str">
        <f t="shared" si="30"/>
        <v/>
      </c>
      <c r="M220" s="4"/>
      <c r="N220" s="79">
        <f>IF(OR($A220="",$B220=""),0,IF(COUNTIFS($A$5:$A220,$A220,$B$5:$B220,$B220)=1,1,0))</f>
        <v>0</v>
      </c>
      <c r="O220" s="79" t="str">
        <f t="shared" si="31"/>
        <v/>
      </c>
      <c r="P220" s="79" t="str">
        <f t="shared" si="32"/>
        <v/>
      </c>
      <c r="AL220" s="89" t="str">
        <f t="shared" ca="1" si="33"/>
        <v>ADMIN_Duomenys!$AA$5:$AA$16</v>
      </c>
    </row>
    <row r="221" spans="1:38" x14ac:dyDescent="0.3">
      <c r="A221" s="70" t="s">
        <v>417</v>
      </c>
      <c r="B221" s="71" t="s">
        <v>538</v>
      </c>
      <c r="C221" s="71" t="s">
        <v>539</v>
      </c>
      <c r="D221" s="71" t="s">
        <v>540</v>
      </c>
      <c r="E221" s="72">
        <v>0</v>
      </c>
      <c r="F221" s="73" t="s">
        <v>256</v>
      </c>
      <c r="G221" s="74"/>
      <c r="H221" s="75">
        <f t="shared" si="26"/>
        <v>3</v>
      </c>
      <c r="I221" s="16" t="str">
        <f t="shared" si="27"/>
        <v>Kristijonas JAKUTIS</v>
      </c>
      <c r="J221" s="76" t="str">
        <f t="shared" si="28"/>
        <v>C|TAIKLIEJI|3</v>
      </c>
      <c r="K221" s="77" t="str">
        <f t="shared" si="29"/>
        <v/>
      </c>
      <c r="L221" s="78" t="str">
        <f t="shared" si="30"/>
        <v/>
      </c>
      <c r="M221" s="4"/>
      <c r="N221" s="79">
        <f>IF(OR($A221="",$B221=""),0,IF(COUNTIFS($A$5:$A221,$A221,$B$5:$B221,$B221)=1,1,0))</f>
        <v>1</v>
      </c>
      <c r="O221" s="79">
        <f t="shared" si="31"/>
        <v>12</v>
      </c>
      <c r="P221" s="79" t="str">
        <f t="shared" si="32"/>
        <v/>
      </c>
      <c r="AL221" s="89" t="str">
        <f t="shared" ca="1" si="33"/>
        <v>ADMIN_Duomenys!$AA$5:$AA$16</v>
      </c>
    </row>
    <row r="222" spans="1:38" x14ac:dyDescent="0.3">
      <c r="A222" s="70" t="s">
        <v>417</v>
      </c>
      <c r="B222" s="71" t="s">
        <v>538</v>
      </c>
      <c r="C222" s="71" t="s">
        <v>541</v>
      </c>
      <c r="D222" s="71" t="s">
        <v>542</v>
      </c>
      <c r="E222" s="72">
        <v>8</v>
      </c>
      <c r="F222" s="73" t="s">
        <v>256</v>
      </c>
      <c r="G222" s="74"/>
      <c r="H222" s="75">
        <f t="shared" si="26"/>
        <v>4</v>
      </c>
      <c r="I222" s="16" t="str">
        <f t="shared" si="27"/>
        <v>Nora NAVARDAUSKAITĖ</v>
      </c>
      <c r="J222" s="76" t="str">
        <f t="shared" si="28"/>
        <v>C|TAIKLIEJI|4</v>
      </c>
      <c r="K222" s="77" t="str">
        <f t="shared" si="29"/>
        <v/>
      </c>
      <c r="L222" s="78" t="str">
        <f t="shared" si="30"/>
        <v/>
      </c>
      <c r="M222" s="4"/>
      <c r="N222" s="79">
        <f>IF(OR($A222="",$B222=""),0,IF(COUNTIFS($A$5:$A222,$A222,$B$5:$B222,$B222)=1,1,0))</f>
        <v>0</v>
      </c>
      <c r="O222" s="79" t="str">
        <f t="shared" si="31"/>
        <v/>
      </c>
      <c r="P222" s="79" t="str">
        <f t="shared" si="32"/>
        <v/>
      </c>
      <c r="AL222" s="89" t="str">
        <f t="shared" ca="1" si="33"/>
        <v>ADMIN_Duomenys!$AA$5:$AA$16</v>
      </c>
    </row>
    <row r="223" spans="1:38" x14ac:dyDescent="0.3">
      <c r="A223" s="70" t="s">
        <v>417</v>
      </c>
      <c r="B223" s="71" t="s">
        <v>538</v>
      </c>
      <c r="C223" s="71" t="s">
        <v>543</v>
      </c>
      <c r="D223" s="71" t="s">
        <v>544</v>
      </c>
      <c r="E223" s="72">
        <v>8</v>
      </c>
      <c r="F223" s="73" t="s">
        <v>256</v>
      </c>
      <c r="G223" s="74"/>
      <c r="H223" s="75">
        <f t="shared" si="26"/>
        <v>2</v>
      </c>
      <c r="I223" s="16" t="str">
        <f t="shared" si="27"/>
        <v>Iveta SPILLER</v>
      </c>
      <c r="J223" s="76" t="str">
        <f t="shared" si="28"/>
        <v>C|TAIKLIEJI|2</v>
      </c>
      <c r="K223" s="77" t="str">
        <f t="shared" si="29"/>
        <v/>
      </c>
      <c r="L223" s="78" t="str">
        <f t="shared" si="30"/>
        <v/>
      </c>
      <c r="M223" s="4"/>
      <c r="N223" s="79">
        <f>IF(OR($A223="",$B223=""),0,IF(COUNTIFS($A$5:$A223,$A223,$B$5:$B223,$B223)=1,1,0))</f>
        <v>0</v>
      </c>
      <c r="O223" s="79" t="str">
        <f t="shared" si="31"/>
        <v/>
      </c>
      <c r="P223" s="79" t="str">
        <f t="shared" si="32"/>
        <v/>
      </c>
      <c r="AL223" s="89" t="str">
        <f t="shared" ca="1" si="33"/>
        <v>ADMIN_Duomenys!$AA$5:$AA$16</v>
      </c>
    </row>
    <row r="224" spans="1:38" x14ac:dyDescent="0.3">
      <c r="A224" s="70" t="s">
        <v>417</v>
      </c>
      <c r="B224" s="71" t="s">
        <v>538</v>
      </c>
      <c r="C224" s="71" t="s">
        <v>436</v>
      </c>
      <c r="D224" s="71" t="s">
        <v>448</v>
      </c>
      <c r="E224" s="72">
        <v>0</v>
      </c>
      <c r="F224" s="73" t="s">
        <v>256</v>
      </c>
      <c r="G224" s="74"/>
      <c r="H224" s="75">
        <f t="shared" si="26"/>
        <v>1</v>
      </c>
      <c r="I224" s="16" t="str">
        <f t="shared" si="27"/>
        <v>Andrej STOROŽEV</v>
      </c>
      <c r="J224" s="76" t="str">
        <f t="shared" si="28"/>
        <v>C|TAIKLIEJI|1</v>
      </c>
      <c r="K224" s="77" t="str">
        <f t="shared" si="29"/>
        <v/>
      </c>
      <c r="L224" s="78" t="str">
        <f t="shared" si="30"/>
        <v/>
      </c>
      <c r="M224" s="4"/>
      <c r="N224" s="79">
        <f>IF(OR($A224="",$B224=""),0,IF(COUNTIFS($A$5:$A224,$A224,$B$5:$B224,$B224)=1,1,0))</f>
        <v>0</v>
      </c>
      <c r="O224" s="79" t="str">
        <f t="shared" si="31"/>
        <v/>
      </c>
      <c r="P224" s="79" t="str">
        <f t="shared" si="32"/>
        <v/>
      </c>
      <c r="AL224" s="89" t="str">
        <f t="shared" ca="1" si="33"/>
        <v>ADMIN_Duomenys!$AA$5:$AA$16</v>
      </c>
    </row>
    <row r="225" spans="1:38" x14ac:dyDescent="0.3">
      <c r="A225" s="70" t="s">
        <v>417</v>
      </c>
      <c r="B225" s="71" t="s">
        <v>538</v>
      </c>
      <c r="C225" s="71" t="s">
        <v>419</v>
      </c>
      <c r="D225" s="71" t="s">
        <v>547</v>
      </c>
      <c r="E225" s="72">
        <v>0</v>
      </c>
      <c r="F225" s="73" t="s">
        <v>256</v>
      </c>
      <c r="G225" s="74"/>
      <c r="H225" s="75">
        <f t="shared" si="26"/>
        <v>5</v>
      </c>
      <c r="I225" s="16" t="str">
        <f t="shared" si="27"/>
        <v>Ramūnas VALUŽIS</v>
      </c>
      <c r="J225" s="76" t="str">
        <f t="shared" si="28"/>
        <v>C|TAIKLIEJI|5</v>
      </c>
      <c r="K225" s="77" t="str">
        <f t="shared" si="29"/>
        <v/>
      </c>
      <c r="L225" s="78" t="str">
        <f t="shared" si="30"/>
        <v/>
      </c>
      <c r="M225" s="4"/>
      <c r="N225" s="79">
        <f>IF(OR($A225="",$B225=""),0,IF(COUNTIFS($A$5:$A225,$A225,$B$5:$B225,$B225)=1,1,0))</f>
        <v>0</v>
      </c>
      <c r="O225" s="79" t="str">
        <f t="shared" si="31"/>
        <v/>
      </c>
      <c r="P225" s="79" t="str">
        <f t="shared" si="32"/>
        <v/>
      </c>
      <c r="AL225" s="89" t="str">
        <f t="shared" ca="1" si="33"/>
        <v>ADMIN_Duomenys!$AA$5:$AA$16</v>
      </c>
    </row>
    <row r="226" spans="1:38" x14ac:dyDescent="0.3">
      <c r="A226" s="70"/>
      <c r="B226" s="71"/>
      <c r="C226" s="71"/>
      <c r="D226" s="71"/>
      <c r="E226" s="72"/>
      <c r="F226" s="73"/>
      <c r="G226" s="74"/>
      <c r="H226" s="75" t="str">
        <f t="shared" si="26"/>
        <v/>
      </c>
      <c r="I226" s="16" t="str">
        <f t="shared" si="27"/>
        <v/>
      </c>
      <c r="J226" s="76" t="str">
        <f t="shared" si="28"/>
        <v/>
      </c>
      <c r="K226" s="77" t="str">
        <f t="shared" si="29"/>
        <v/>
      </c>
      <c r="L226" s="78" t="str">
        <f t="shared" si="30"/>
        <v/>
      </c>
      <c r="M226" s="4"/>
      <c r="N226" s="79">
        <f>IF(OR($A226="",$B226=""),0,IF(COUNTIFS($A$5:$A226,$A226,$B$5:$B226,$B226)=1,1,0))</f>
        <v>0</v>
      </c>
      <c r="O226" s="79" t="str">
        <f t="shared" si="31"/>
        <v/>
      </c>
      <c r="P226" s="79" t="str">
        <f t="shared" si="32"/>
        <v/>
      </c>
      <c r="AL226" s="89" t="str">
        <f t="shared" ca="1" si="33"/>
        <v/>
      </c>
    </row>
    <row r="227" spans="1:38" x14ac:dyDescent="0.3">
      <c r="A227" s="70"/>
      <c r="B227" s="71"/>
      <c r="C227" s="71"/>
      <c r="D227" s="71"/>
      <c r="E227" s="72"/>
      <c r="F227" s="73"/>
      <c r="G227" s="74"/>
      <c r="H227" s="75" t="str">
        <f t="shared" si="26"/>
        <v/>
      </c>
      <c r="I227" s="16" t="str">
        <f t="shared" si="27"/>
        <v/>
      </c>
      <c r="J227" s="76" t="str">
        <f t="shared" si="28"/>
        <v/>
      </c>
      <c r="K227" s="77" t="str">
        <f t="shared" si="29"/>
        <v/>
      </c>
      <c r="L227" s="78" t="str">
        <f t="shared" si="30"/>
        <v/>
      </c>
      <c r="M227" s="4"/>
      <c r="N227" s="79">
        <f>IF(OR($A227="",$B227=""),0,IF(COUNTIFS($A$5:$A227,$A227,$B$5:$B227,$B227)=1,1,0))</f>
        <v>0</v>
      </c>
      <c r="O227" s="79" t="str">
        <f t="shared" si="31"/>
        <v/>
      </c>
      <c r="P227" s="79" t="str">
        <f t="shared" si="32"/>
        <v/>
      </c>
      <c r="AL227" s="89" t="str">
        <f t="shared" ca="1" si="33"/>
        <v/>
      </c>
    </row>
    <row r="228" spans="1:38" x14ac:dyDescent="0.3">
      <c r="A228" s="70"/>
      <c r="B228" s="71"/>
      <c r="C228" s="71"/>
      <c r="D228" s="71"/>
      <c r="E228" s="72"/>
      <c r="F228" s="73"/>
      <c r="G228" s="74"/>
      <c r="H228" s="75" t="str">
        <f t="shared" si="26"/>
        <v/>
      </c>
      <c r="I228" s="16" t="str">
        <f t="shared" si="27"/>
        <v/>
      </c>
      <c r="J228" s="76" t="str">
        <f t="shared" si="28"/>
        <v/>
      </c>
      <c r="K228" s="77" t="str">
        <f t="shared" si="29"/>
        <v/>
      </c>
      <c r="L228" s="78" t="str">
        <f t="shared" si="30"/>
        <v/>
      </c>
      <c r="M228" s="4"/>
      <c r="N228" s="79">
        <f>IF(OR($A228="",$B228=""),0,IF(COUNTIFS($A$5:$A228,$A228,$B$5:$B228,$B228)=1,1,0))</f>
        <v>0</v>
      </c>
      <c r="O228" s="79" t="str">
        <f t="shared" si="31"/>
        <v/>
      </c>
      <c r="P228" s="79" t="str">
        <f t="shared" si="32"/>
        <v/>
      </c>
      <c r="AL228" s="89" t="str">
        <f t="shared" ca="1" si="33"/>
        <v/>
      </c>
    </row>
    <row r="229" spans="1:38" x14ac:dyDescent="0.3">
      <c r="A229" s="70"/>
      <c r="B229" s="71"/>
      <c r="C229" s="71"/>
      <c r="D229" s="71"/>
      <c r="E229" s="72"/>
      <c r="F229" s="73"/>
      <c r="G229" s="74"/>
      <c r="H229" s="75" t="str">
        <f t="shared" si="26"/>
        <v/>
      </c>
      <c r="I229" s="16" t="str">
        <f t="shared" si="27"/>
        <v/>
      </c>
      <c r="J229" s="76" t="str">
        <f t="shared" si="28"/>
        <v/>
      </c>
      <c r="K229" s="77" t="str">
        <f t="shared" si="29"/>
        <v/>
      </c>
      <c r="L229" s="78" t="str">
        <f t="shared" si="30"/>
        <v/>
      </c>
      <c r="M229" s="4"/>
      <c r="N229" s="79">
        <f>IF(OR($A229="",$B229=""),0,IF(COUNTIFS($A$5:$A229,$A229,$B$5:$B229,$B229)=1,1,0))</f>
        <v>0</v>
      </c>
      <c r="O229" s="79" t="str">
        <f t="shared" si="31"/>
        <v/>
      </c>
      <c r="P229" s="79" t="str">
        <f t="shared" si="32"/>
        <v/>
      </c>
      <c r="AL229" s="89" t="str">
        <f t="shared" ca="1" si="33"/>
        <v/>
      </c>
    </row>
    <row r="230" spans="1:38" x14ac:dyDescent="0.3">
      <c r="A230" s="70"/>
      <c r="B230" s="71"/>
      <c r="C230" s="71"/>
      <c r="D230" s="71"/>
      <c r="E230" s="72"/>
      <c r="F230" s="73"/>
      <c r="G230" s="74"/>
      <c r="H230" s="75" t="str">
        <f t="shared" si="26"/>
        <v/>
      </c>
      <c r="I230" s="16" t="str">
        <f t="shared" si="27"/>
        <v/>
      </c>
      <c r="J230" s="76" t="str">
        <f t="shared" si="28"/>
        <v/>
      </c>
      <c r="K230" s="77" t="str">
        <f t="shared" si="29"/>
        <v/>
      </c>
      <c r="L230" s="78" t="str">
        <f t="shared" si="30"/>
        <v/>
      </c>
      <c r="M230" s="4"/>
      <c r="N230" s="79">
        <f>IF(OR($A230="",$B230=""),0,IF(COUNTIFS($A$5:$A230,$A230,$B$5:$B230,$B230)=1,1,0))</f>
        <v>0</v>
      </c>
      <c r="O230" s="79" t="str">
        <f t="shared" si="31"/>
        <v/>
      </c>
      <c r="P230" s="79" t="str">
        <f t="shared" si="32"/>
        <v/>
      </c>
      <c r="AL230" s="89" t="str">
        <f t="shared" ca="1" si="33"/>
        <v/>
      </c>
    </row>
    <row r="231" spans="1:38" x14ac:dyDescent="0.3">
      <c r="A231" s="70"/>
      <c r="B231" s="71"/>
      <c r="C231" s="71"/>
      <c r="D231" s="71"/>
      <c r="E231" s="72"/>
      <c r="F231" s="73"/>
      <c r="G231" s="74"/>
      <c r="H231" s="75" t="str">
        <f t="shared" si="26"/>
        <v/>
      </c>
      <c r="I231" s="16" t="str">
        <f t="shared" si="27"/>
        <v/>
      </c>
      <c r="J231" s="76" t="str">
        <f t="shared" si="28"/>
        <v/>
      </c>
      <c r="K231" s="77" t="str">
        <f t="shared" si="29"/>
        <v/>
      </c>
      <c r="L231" s="78" t="str">
        <f t="shared" si="30"/>
        <v/>
      </c>
      <c r="M231" s="4"/>
      <c r="N231" s="79">
        <f>IF(OR($A231="",$B231=""),0,IF(COUNTIFS($A$5:$A231,$A231,$B$5:$B231,$B231)=1,1,0))</f>
        <v>0</v>
      </c>
      <c r="O231" s="79" t="str">
        <f t="shared" si="31"/>
        <v/>
      </c>
      <c r="P231" s="79" t="str">
        <f t="shared" si="32"/>
        <v/>
      </c>
      <c r="AL231" s="89" t="str">
        <f t="shared" ca="1" si="33"/>
        <v/>
      </c>
    </row>
    <row r="232" spans="1:38" x14ac:dyDescent="0.3">
      <c r="A232" s="70"/>
      <c r="B232" s="71"/>
      <c r="C232" s="71"/>
      <c r="D232" s="71"/>
      <c r="E232" s="72"/>
      <c r="F232" s="73"/>
      <c r="G232" s="74"/>
      <c r="H232" s="75" t="str">
        <f t="shared" si="26"/>
        <v/>
      </c>
      <c r="I232" s="16" t="str">
        <f t="shared" si="27"/>
        <v/>
      </c>
      <c r="J232" s="76" t="str">
        <f t="shared" si="28"/>
        <v/>
      </c>
      <c r="K232" s="77" t="str">
        <f t="shared" si="29"/>
        <v/>
      </c>
      <c r="L232" s="78" t="str">
        <f t="shared" si="30"/>
        <v/>
      </c>
      <c r="M232" s="4"/>
      <c r="N232" s="79">
        <f>IF(OR($A232="",$B232=""),0,IF(COUNTIFS($A$5:$A232,$A232,$B$5:$B232,$B232)=1,1,0))</f>
        <v>0</v>
      </c>
      <c r="O232" s="79" t="str">
        <f t="shared" si="31"/>
        <v/>
      </c>
      <c r="P232" s="79" t="str">
        <f t="shared" si="32"/>
        <v/>
      </c>
      <c r="AL232" s="89" t="str">
        <f t="shared" ca="1" si="33"/>
        <v/>
      </c>
    </row>
    <row r="233" spans="1:38" x14ac:dyDescent="0.3">
      <c r="A233" s="70"/>
      <c r="B233" s="71"/>
      <c r="C233" s="71"/>
      <c r="D233" s="71"/>
      <c r="E233" s="72"/>
      <c r="F233" s="73"/>
      <c r="G233" s="74"/>
      <c r="H233" s="75" t="str">
        <f t="shared" si="26"/>
        <v/>
      </c>
      <c r="I233" s="16" t="str">
        <f t="shared" si="27"/>
        <v/>
      </c>
      <c r="J233" s="76" t="str">
        <f t="shared" si="28"/>
        <v/>
      </c>
      <c r="K233" s="77" t="str">
        <f t="shared" si="29"/>
        <v/>
      </c>
      <c r="L233" s="78" t="str">
        <f t="shared" si="30"/>
        <v/>
      </c>
      <c r="M233" s="4"/>
      <c r="N233" s="79">
        <f>IF(OR($A233="",$B233=""),0,IF(COUNTIFS($A$5:$A233,$A233,$B$5:$B233,$B233)=1,1,0))</f>
        <v>0</v>
      </c>
      <c r="O233" s="79" t="str">
        <f t="shared" si="31"/>
        <v/>
      </c>
      <c r="P233" s="79" t="str">
        <f t="shared" si="32"/>
        <v/>
      </c>
      <c r="AL233" s="89" t="str">
        <f t="shared" ca="1" si="33"/>
        <v/>
      </c>
    </row>
    <row r="234" spans="1:38" x14ac:dyDescent="0.3">
      <c r="A234" s="70"/>
      <c r="B234" s="71"/>
      <c r="C234" s="71"/>
      <c r="D234" s="71"/>
      <c r="E234" s="72"/>
      <c r="F234" s="73"/>
      <c r="G234" s="74"/>
      <c r="H234" s="75" t="str">
        <f t="shared" si="26"/>
        <v/>
      </c>
      <c r="I234" s="16" t="str">
        <f t="shared" si="27"/>
        <v/>
      </c>
      <c r="J234" s="76" t="str">
        <f t="shared" si="28"/>
        <v/>
      </c>
      <c r="K234" s="77" t="str">
        <f t="shared" si="29"/>
        <v/>
      </c>
      <c r="L234" s="78" t="str">
        <f t="shared" si="30"/>
        <v/>
      </c>
      <c r="M234" s="4"/>
      <c r="N234" s="79">
        <f>IF(OR($A234="",$B234=""),0,IF(COUNTIFS($A$5:$A234,$A234,$B$5:$B234,$B234)=1,1,0))</f>
        <v>0</v>
      </c>
      <c r="O234" s="79" t="str">
        <f t="shared" si="31"/>
        <v/>
      </c>
      <c r="P234" s="79" t="str">
        <f t="shared" si="32"/>
        <v/>
      </c>
      <c r="AL234" s="89" t="str">
        <f t="shared" ca="1" si="33"/>
        <v/>
      </c>
    </row>
    <row r="235" spans="1:38" x14ac:dyDescent="0.3">
      <c r="A235" s="70"/>
      <c r="B235" s="71"/>
      <c r="C235" s="71"/>
      <c r="D235" s="71"/>
      <c r="E235" s="72"/>
      <c r="F235" s="73"/>
      <c r="G235" s="74"/>
      <c r="H235" s="75" t="str">
        <f t="shared" si="26"/>
        <v/>
      </c>
      <c r="I235" s="16" t="str">
        <f t="shared" si="27"/>
        <v/>
      </c>
      <c r="J235" s="76" t="str">
        <f t="shared" si="28"/>
        <v/>
      </c>
      <c r="K235" s="77" t="str">
        <f t="shared" si="29"/>
        <v/>
      </c>
      <c r="L235" s="78" t="str">
        <f t="shared" si="30"/>
        <v/>
      </c>
      <c r="M235" s="4"/>
      <c r="N235" s="79">
        <f>IF(OR($A235="",$B235=""),0,IF(COUNTIFS($A$5:$A235,$A235,$B$5:$B235,$B235)=1,1,0))</f>
        <v>0</v>
      </c>
      <c r="O235" s="79" t="str">
        <f t="shared" si="31"/>
        <v/>
      </c>
      <c r="P235" s="79" t="str">
        <f t="shared" si="32"/>
        <v/>
      </c>
      <c r="AL235" s="89" t="str">
        <f t="shared" ca="1" si="33"/>
        <v/>
      </c>
    </row>
    <row r="236" spans="1:38" x14ac:dyDescent="0.3">
      <c r="A236" s="70"/>
      <c r="B236" s="71"/>
      <c r="C236" s="71"/>
      <c r="D236" s="71"/>
      <c r="E236" s="72"/>
      <c r="F236" s="73"/>
      <c r="G236" s="74"/>
      <c r="H236" s="75" t="str">
        <f t="shared" si="26"/>
        <v/>
      </c>
      <c r="I236" s="16" t="str">
        <f t="shared" si="27"/>
        <v/>
      </c>
      <c r="J236" s="76" t="str">
        <f t="shared" si="28"/>
        <v/>
      </c>
      <c r="K236" s="77" t="str">
        <f t="shared" si="29"/>
        <v/>
      </c>
      <c r="L236" s="78" t="str">
        <f t="shared" si="30"/>
        <v/>
      </c>
      <c r="M236" s="4"/>
      <c r="N236" s="79">
        <f>IF(OR($A236="",$B236=""),0,IF(COUNTIFS($A$5:$A236,$A236,$B$5:$B236,$B236)=1,1,0))</f>
        <v>0</v>
      </c>
      <c r="O236" s="79" t="str">
        <f t="shared" si="31"/>
        <v/>
      </c>
      <c r="P236" s="79" t="str">
        <f t="shared" si="32"/>
        <v/>
      </c>
      <c r="AL236" s="89" t="str">
        <f t="shared" ca="1" si="33"/>
        <v/>
      </c>
    </row>
    <row r="237" spans="1:38" x14ac:dyDescent="0.3">
      <c r="A237" s="70"/>
      <c r="B237" s="71"/>
      <c r="C237" s="71"/>
      <c r="D237" s="71"/>
      <c r="E237" s="72"/>
      <c r="F237" s="73"/>
      <c r="G237" s="74"/>
      <c r="H237" s="75" t="str">
        <f t="shared" si="26"/>
        <v/>
      </c>
      <c r="I237" s="16" t="str">
        <f t="shared" si="27"/>
        <v/>
      </c>
      <c r="J237" s="76" t="str">
        <f t="shared" si="28"/>
        <v/>
      </c>
      <c r="K237" s="77" t="str">
        <f t="shared" si="29"/>
        <v/>
      </c>
      <c r="L237" s="78" t="str">
        <f t="shared" si="30"/>
        <v/>
      </c>
      <c r="M237" s="4"/>
      <c r="N237" s="79">
        <f>IF(OR($A237="",$B237=""),0,IF(COUNTIFS($A$5:$A237,$A237,$B$5:$B237,$B237)=1,1,0))</f>
        <v>0</v>
      </c>
      <c r="O237" s="79" t="str">
        <f t="shared" si="31"/>
        <v/>
      </c>
      <c r="P237" s="79" t="str">
        <f t="shared" si="32"/>
        <v/>
      </c>
      <c r="AL237" s="89" t="str">
        <f t="shared" ca="1" si="33"/>
        <v/>
      </c>
    </row>
    <row r="238" spans="1:38" x14ac:dyDescent="0.3">
      <c r="A238" s="70"/>
      <c r="B238" s="71"/>
      <c r="C238" s="71"/>
      <c r="D238" s="71"/>
      <c r="E238" s="72"/>
      <c r="F238" s="73"/>
      <c r="G238" s="74"/>
      <c r="H238" s="75" t="str">
        <f t="shared" si="26"/>
        <v/>
      </c>
      <c r="I238" s="16" t="str">
        <f t="shared" si="27"/>
        <v/>
      </c>
      <c r="J238" s="76" t="str">
        <f t="shared" si="28"/>
        <v/>
      </c>
      <c r="K238" s="77" t="str">
        <f t="shared" si="29"/>
        <v/>
      </c>
      <c r="L238" s="78" t="str">
        <f t="shared" si="30"/>
        <v/>
      </c>
      <c r="M238" s="4"/>
      <c r="N238" s="79">
        <f>IF(OR($A238="",$B238=""),0,IF(COUNTIFS($A$5:$A238,$A238,$B$5:$B238,$B238)=1,1,0))</f>
        <v>0</v>
      </c>
      <c r="O238" s="79" t="str">
        <f t="shared" si="31"/>
        <v/>
      </c>
      <c r="P238" s="79" t="str">
        <f t="shared" si="32"/>
        <v/>
      </c>
      <c r="AL238" s="89" t="str">
        <f t="shared" ca="1" si="33"/>
        <v/>
      </c>
    </row>
    <row r="239" spans="1:38" x14ac:dyDescent="0.3">
      <c r="A239" s="70"/>
      <c r="B239" s="71"/>
      <c r="C239" s="71"/>
      <c r="D239" s="71"/>
      <c r="E239" s="72"/>
      <c r="F239" s="73"/>
      <c r="G239" s="74"/>
      <c r="H239" s="75" t="str">
        <f t="shared" si="26"/>
        <v/>
      </c>
      <c r="I239" s="16" t="str">
        <f t="shared" si="27"/>
        <v/>
      </c>
      <c r="J239" s="76" t="str">
        <f t="shared" si="28"/>
        <v/>
      </c>
      <c r="K239" s="77" t="str">
        <f t="shared" si="29"/>
        <v/>
      </c>
      <c r="L239" s="78" t="str">
        <f t="shared" si="30"/>
        <v/>
      </c>
      <c r="M239" s="4"/>
      <c r="N239" s="79">
        <f>IF(OR($A239="",$B239=""),0,IF(COUNTIFS($A$5:$A239,$A239,$B$5:$B239,$B239)=1,1,0))</f>
        <v>0</v>
      </c>
      <c r="O239" s="79" t="str">
        <f t="shared" si="31"/>
        <v/>
      </c>
      <c r="P239" s="79" t="str">
        <f t="shared" si="32"/>
        <v/>
      </c>
      <c r="AL239" s="89" t="str">
        <f t="shared" ca="1" si="33"/>
        <v/>
      </c>
    </row>
    <row r="240" spans="1:38" x14ac:dyDescent="0.3">
      <c r="A240" s="70"/>
      <c r="B240" s="71"/>
      <c r="C240" s="71"/>
      <c r="D240" s="71"/>
      <c r="E240" s="72"/>
      <c r="F240" s="73"/>
      <c r="G240" s="74"/>
      <c r="H240" s="75" t="str">
        <f t="shared" si="26"/>
        <v/>
      </c>
      <c r="I240" s="16" t="str">
        <f t="shared" si="27"/>
        <v/>
      </c>
      <c r="J240" s="76" t="str">
        <f t="shared" si="28"/>
        <v/>
      </c>
      <c r="K240" s="77" t="str">
        <f t="shared" si="29"/>
        <v/>
      </c>
      <c r="L240" s="78" t="str">
        <f t="shared" si="30"/>
        <v/>
      </c>
      <c r="M240" s="4"/>
      <c r="N240" s="79">
        <f>IF(OR($A240="",$B240=""),0,IF(COUNTIFS($A$5:$A240,$A240,$B$5:$B240,$B240)=1,1,0))</f>
        <v>0</v>
      </c>
      <c r="O240" s="79" t="str">
        <f t="shared" si="31"/>
        <v/>
      </c>
      <c r="P240" s="79" t="str">
        <f t="shared" si="32"/>
        <v/>
      </c>
      <c r="AL240" s="89" t="str">
        <f t="shared" ca="1" si="33"/>
        <v/>
      </c>
    </row>
    <row r="241" spans="1:38" x14ac:dyDescent="0.3">
      <c r="A241" s="70"/>
      <c r="B241" s="71"/>
      <c r="C241" s="71"/>
      <c r="D241" s="71"/>
      <c r="E241" s="72"/>
      <c r="F241" s="73"/>
      <c r="G241" s="74"/>
      <c r="H241" s="75" t="str">
        <f t="shared" si="26"/>
        <v/>
      </c>
      <c r="I241" s="16" t="str">
        <f t="shared" si="27"/>
        <v/>
      </c>
      <c r="J241" s="76" t="str">
        <f t="shared" si="28"/>
        <v/>
      </c>
      <c r="K241" s="77" t="str">
        <f t="shared" si="29"/>
        <v/>
      </c>
      <c r="L241" s="78" t="str">
        <f t="shared" si="30"/>
        <v/>
      </c>
      <c r="M241" s="4"/>
      <c r="N241" s="79">
        <f>IF(OR($A241="",$B241=""),0,IF(COUNTIFS($A$5:$A241,$A241,$B$5:$B241,$B241)=1,1,0))</f>
        <v>0</v>
      </c>
      <c r="O241" s="79" t="str">
        <f t="shared" si="31"/>
        <v/>
      </c>
      <c r="P241" s="79" t="str">
        <f t="shared" si="32"/>
        <v/>
      </c>
      <c r="AL241" s="89" t="str">
        <f t="shared" ca="1" si="33"/>
        <v/>
      </c>
    </row>
    <row r="242" spans="1:38" x14ac:dyDescent="0.3">
      <c r="A242" s="70"/>
      <c r="B242" s="71"/>
      <c r="C242" s="71"/>
      <c r="D242" s="71"/>
      <c r="E242" s="72"/>
      <c r="F242" s="73"/>
      <c r="G242" s="74"/>
      <c r="H242" s="75" t="str">
        <f t="shared" si="26"/>
        <v/>
      </c>
      <c r="I242" s="16" t="str">
        <f t="shared" si="27"/>
        <v/>
      </c>
      <c r="J242" s="76" t="str">
        <f t="shared" si="28"/>
        <v/>
      </c>
      <c r="K242" s="77" t="str">
        <f t="shared" si="29"/>
        <v/>
      </c>
      <c r="L242" s="78" t="str">
        <f t="shared" si="30"/>
        <v/>
      </c>
      <c r="M242" s="4"/>
      <c r="N242" s="79">
        <f>IF(OR($A242="",$B242=""),0,IF(COUNTIFS($A$5:$A242,$A242,$B$5:$B242,$B242)=1,1,0))</f>
        <v>0</v>
      </c>
      <c r="O242" s="79" t="str">
        <f t="shared" si="31"/>
        <v/>
      </c>
      <c r="P242" s="79" t="str">
        <f t="shared" si="32"/>
        <v/>
      </c>
      <c r="AL242" s="89" t="str">
        <f t="shared" ca="1" si="33"/>
        <v/>
      </c>
    </row>
    <row r="243" spans="1:38" x14ac:dyDescent="0.3">
      <c r="A243" s="70"/>
      <c r="B243" s="71"/>
      <c r="C243" s="71"/>
      <c r="D243" s="71"/>
      <c r="E243" s="72"/>
      <c r="F243" s="73"/>
      <c r="G243" s="74"/>
      <c r="H243" s="75" t="str">
        <f t="shared" si="26"/>
        <v/>
      </c>
      <c r="I243" s="16" t="str">
        <f t="shared" si="27"/>
        <v/>
      </c>
      <c r="J243" s="76" t="str">
        <f t="shared" si="28"/>
        <v/>
      </c>
      <c r="K243" s="77" t="str">
        <f t="shared" si="29"/>
        <v/>
      </c>
      <c r="L243" s="78" t="str">
        <f t="shared" si="30"/>
        <v/>
      </c>
      <c r="M243" s="4"/>
      <c r="N243" s="79">
        <f>IF(OR($A243="",$B243=""),0,IF(COUNTIFS($A$5:$A243,$A243,$B$5:$B243,$B243)=1,1,0))</f>
        <v>0</v>
      </c>
      <c r="O243" s="79" t="str">
        <f t="shared" si="31"/>
        <v/>
      </c>
      <c r="P243" s="79" t="str">
        <f t="shared" si="32"/>
        <v/>
      </c>
      <c r="AL243" s="89" t="str">
        <f t="shared" ca="1" si="33"/>
        <v/>
      </c>
    </row>
    <row r="244" spans="1:38" x14ac:dyDescent="0.3">
      <c r="A244" s="70"/>
      <c r="B244" s="71"/>
      <c r="C244" s="71"/>
      <c r="D244" s="71"/>
      <c r="E244" s="72"/>
      <c r="F244" s="73"/>
      <c r="G244" s="74"/>
      <c r="H244" s="75" t="str">
        <f t="shared" si="26"/>
        <v/>
      </c>
      <c r="I244" s="16" t="str">
        <f t="shared" si="27"/>
        <v/>
      </c>
      <c r="J244" s="76" t="str">
        <f t="shared" si="28"/>
        <v/>
      </c>
      <c r="K244" s="77" t="str">
        <f t="shared" si="29"/>
        <v/>
      </c>
      <c r="L244" s="78" t="str">
        <f t="shared" si="30"/>
        <v/>
      </c>
      <c r="M244" s="4"/>
      <c r="N244" s="79">
        <f>IF(OR($A244="",$B244=""),0,IF(COUNTIFS($A$5:$A244,$A244,$B$5:$B244,$B244)=1,1,0))</f>
        <v>0</v>
      </c>
      <c r="O244" s="79" t="str">
        <f t="shared" si="31"/>
        <v/>
      </c>
      <c r="P244" s="79" t="str">
        <f t="shared" si="32"/>
        <v/>
      </c>
      <c r="AL244" s="89" t="str">
        <f t="shared" ca="1" si="33"/>
        <v/>
      </c>
    </row>
    <row r="245" spans="1:38" x14ac:dyDescent="0.3">
      <c r="A245" s="70"/>
      <c r="B245" s="71"/>
      <c r="C245" s="71"/>
      <c r="D245" s="71"/>
      <c r="E245" s="72"/>
      <c r="F245" s="73"/>
      <c r="G245" s="74"/>
      <c r="H245" s="75" t="str">
        <f t="shared" si="26"/>
        <v/>
      </c>
      <c r="I245" s="16" t="str">
        <f t="shared" si="27"/>
        <v/>
      </c>
      <c r="J245" s="76" t="str">
        <f t="shared" si="28"/>
        <v/>
      </c>
      <c r="K245" s="77" t="str">
        <f t="shared" si="29"/>
        <v/>
      </c>
      <c r="L245" s="78" t="str">
        <f t="shared" si="30"/>
        <v/>
      </c>
      <c r="M245" s="4"/>
      <c r="N245" s="79">
        <f>IF(OR($A245="",$B245=""),0,IF(COUNTIFS($A$5:$A245,$A245,$B$5:$B245,$B245)=1,1,0))</f>
        <v>0</v>
      </c>
      <c r="O245" s="79" t="str">
        <f t="shared" si="31"/>
        <v/>
      </c>
      <c r="P245" s="79" t="str">
        <f t="shared" si="32"/>
        <v/>
      </c>
      <c r="AL245" s="89" t="str">
        <f t="shared" ca="1" si="33"/>
        <v/>
      </c>
    </row>
    <row r="246" spans="1:38" x14ac:dyDescent="0.3">
      <c r="A246" s="70"/>
      <c r="B246" s="71"/>
      <c r="C246" s="71"/>
      <c r="D246" s="71"/>
      <c r="E246" s="72"/>
      <c r="F246" s="73"/>
      <c r="G246" s="74"/>
      <c r="H246" s="75" t="str">
        <f t="shared" si="26"/>
        <v/>
      </c>
      <c r="I246" s="16" t="str">
        <f t="shared" si="27"/>
        <v/>
      </c>
      <c r="J246" s="76" t="str">
        <f t="shared" si="28"/>
        <v/>
      </c>
      <c r="K246" s="77" t="str">
        <f t="shared" si="29"/>
        <v/>
      </c>
      <c r="L246" s="78" t="str">
        <f t="shared" si="30"/>
        <v/>
      </c>
      <c r="M246" s="4"/>
      <c r="N246" s="79">
        <f>IF(OR($A246="",$B246=""),0,IF(COUNTIFS($A$5:$A246,$A246,$B$5:$B246,$B246)=1,1,0))</f>
        <v>0</v>
      </c>
      <c r="O246" s="79" t="str">
        <f t="shared" si="31"/>
        <v/>
      </c>
      <c r="P246" s="79" t="str">
        <f t="shared" si="32"/>
        <v/>
      </c>
      <c r="AL246" s="89" t="str">
        <f t="shared" ca="1" si="33"/>
        <v/>
      </c>
    </row>
    <row r="247" spans="1:38" x14ac:dyDescent="0.3">
      <c r="A247" s="70"/>
      <c r="B247" s="71"/>
      <c r="C247" s="71"/>
      <c r="D247" s="71"/>
      <c r="E247" s="72"/>
      <c r="F247" s="73"/>
      <c r="G247" s="74"/>
      <c r="H247" s="75" t="str">
        <f t="shared" si="26"/>
        <v/>
      </c>
      <c r="I247" s="16" t="str">
        <f t="shared" si="27"/>
        <v/>
      </c>
      <c r="J247" s="76" t="str">
        <f t="shared" si="28"/>
        <v/>
      </c>
      <c r="K247" s="77" t="str">
        <f t="shared" si="29"/>
        <v/>
      </c>
      <c r="L247" s="78" t="str">
        <f t="shared" si="30"/>
        <v/>
      </c>
      <c r="M247" s="4"/>
      <c r="N247" s="79">
        <f>IF(OR($A247="",$B247=""),0,IF(COUNTIFS($A$5:$A247,$A247,$B$5:$B247,$B247)=1,1,0))</f>
        <v>0</v>
      </c>
      <c r="O247" s="79" t="str">
        <f t="shared" si="31"/>
        <v/>
      </c>
      <c r="P247" s="79" t="str">
        <f t="shared" si="32"/>
        <v/>
      </c>
      <c r="AL247" s="89" t="str">
        <f t="shared" ca="1" si="33"/>
        <v/>
      </c>
    </row>
    <row r="248" spans="1:38" x14ac:dyDescent="0.3">
      <c r="A248" s="70"/>
      <c r="B248" s="71"/>
      <c r="C248" s="71"/>
      <c r="D248" s="71"/>
      <c r="E248" s="72"/>
      <c r="F248" s="73"/>
      <c r="G248" s="74"/>
      <c r="H248" s="75" t="str">
        <f t="shared" si="26"/>
        <v/>
      </c>
      <c r="I248" s="16" t="str">
        <f t="shared" si="27"/>
        <v/>
      </c>
      <c r="J248" s="76" t="str">
        <f t="shared" si="28"/>
        <v/>
      </c>
      <c r="K248" s="77" t="str">
        <f t="shared" si="29"/>
        <v/>
      </c>
      <c r="L248" s="78" t="str">
        <f t="shared" si="30"/>
        <v/>
      </c>
      <c r="M248" s="4"/>
      <c r="N248" s="79">
        <f>IF(OR($A248="",$B248=""),0,IF(COUNTIFS($A$5:$A248,$A248,$B$5:$B248,$B248)=1,1,0))</f>
        <v>0</v>
      </c>
      <c r="O248" s="79" t="str">
        <f t="shared" si="31"/>
        <v/>
      </c>
      <c r="P248" s="79" t="str">
        <f t="shared" si="32"/>
        <v/>
      </c>
      <c r="AL248" s="89" t="str">
        <f t="shared" ca="1" si="33"/>
        <v/>
      </c>
    </row>
    <row r="249" spans="1:38" x14ac:dyDescent="0.3">
      <c r="A249" s="70"/>
      <c r="B249" s="71"/>
      <c r="C249" s="71"/>
      <c r="D249" s="71"/>
      <c r="E249" s="72"/>
      <c r="F249" s="73"/>
      <c r="G249" s="74"/>
      <c r="H249" s="75" t="str">
        <f t="shared" si="26"/>
        <v/>
      </c>
      <c r="I249" s="16" t="str">
        <f t="shared" si="27"/>
        <v/>
      </c>
      <c r="J249" s="76" t="str">
        <f t="shared" si="28"/>
        <v/>
      </c>
      <c r="K249" s="77" t="str">
        <f t="shared" si="29"/>
        <v/>
      </c>
      <c r="L249" s="78" t="str">
        <f t="shared" si="30"/>
        <v/>
      </c>
      <c r="M249" s="4"/>
      <c r="N249" s="79">
        <f>IF(OR($A249="",$B249=""),0,IF(COUNTIFS($A$5:$A249,$A249,$B$5:$B249,$B249)=1,1,0))</f>
        <v>0</v>
      </c>
      <c r="O249" s="79" t="str">
        <f t="shared" si="31"/>
        <v/>
      </c>
      <c r="P249" s="79" t="str">
        <f t="shared" si="32"/>
        <v/>
      </c>
      <c r="AL249" s="89" t="str">
        <f t="shared" ca="1" si="33"/>
        <v/>
      </c>
    </row>
    <row r="250" spans="1:38" x14ac:dyDescent="0.3">
      <c r="A250" s="70"/>
      <c r="B250" s="71"/>
      <c r="C250" s="71"/>
      <c r="D250" s="71"/>
      <c r="E250" s="72"/>
      <c r="F250" s="73"/>
      <c r="G250" s="74"/>
      <c r="H250" s="75" t="str">
        <f t="shared" si="26"/>
        <v/>
      </c>
      <c r="I250" s="16" t="str">
        <f t="shared" si="27"/>
        <v/>
      </c>
      <c r="J250" s="76" t="str">
        <f t="shared" si="28"/>
        <v/>
      </c>
      <c r="K250" s="77" t="str">
        <f t="shared" si="29"/>
        <v/>
      </c>
      <c r="L250" s="78" t="str">
        <f t="shared" si="30"/>
        <v/>
      </c>
      <c r="M250" s="4"/>
      <c r="N250" s="79">
        <f>IF(OR($A250="",$B250=""),0,IF(COUNTIFS($A$5:$A250,$A250,$B$5:$B250,$B250)=1,1,0))</f>
        <v>0</v>
      </c>
      <c r="O250" s="79" t="str">
        <f t="shared" si="31"/>
        <v/>
      </c>
      <c r="P250" s="79" t="str">
        <f t="shared" si="32"/>
        <v/>
      </c>
      <c r="AL250" s="89" t="str">
        <f t="shared" ca="1" si="33"/>
        <v/>
      </c>
    </row>
    <row r="251" spans="1:38" x14ac:dyDescent="0.3">
      <c r="A251" s="70"/>
      <c r="B251" s="71"/>
      <c r="C251" s="71"/>
      <c r="D251" s="71"/>
      <c r="E251" s="72"/>
      <c r="F251" s="73"/>
      <c r="G251" s="74"/>
      <c r="H251" s="75" t="str">
        <f t="shared" si="26"/>
        <v/>
      </c>
      <c r="I251" s="16" t="str">
        <f t="shared" si="27"/>
        <v/>
      </c>
      <c r="J251" s="76" t="str">
        <f t="shared" si="28"/>
        <v/>
      </c>
      <c r="K251" s="77" t="str">
        <f t="shared" si="29"/>
        <v/>
      </c>
      <c r="L251" s="78" t="str">
        <f t="shared" si="30"/>
        <v/>
      </c>
      <c r="M251" s="4"/>
      <c r="N251" s="79">
        <f>IF(OR($A251="",$B251=""),0,IF(COUNTIFS($A$5:$A251,$A251,$B$5:$B251,$B251)=1,1,0))</f>
        <v>0</v>
      </c>
      <c r="O251" s="79" t="str">
        <f t="shared" si="31"/>
        <v/>
      </c>
      <c r="P251" s="79" t="str">
        <f t="shared" si="32"/>
        <v/>
      </c>
      <c r="AL251" s="89" t="str">
        <f t="shared" ca="1" si="33"/>
        <v/>
      </c>
    </row>
    <row r="252" spans="1:38" x14ac:dyDescent="0.3">
      <c r="A252" s="70"/>
      <c r="B252" s="71"/>
      <c r="C252" s="71"/>
      <c r="D252" s="71"/>
      <c r="E252" s="72"/>
      <c r="F252" s="73"/>
      <c r="G252" s="74"/>
      <c r="H252" s="75" t="str">
        <f t="shared" si="26"/>
        <v/>
      </c>
      <c r="I252" s="16" t="str">
        <f t="shared" si="27"/>
        <v/>
      </c>
      <c r="J252" s="76" t="str">
        <f t="shared" si="28"/>
        <v/>
      </c>
      <c r="K252" s="77" t="str">
        <f t="shared" si="29"/>
        <v/>
      </c>
      <c r="L252" s="78" t="str">
        <f t="shared" si="30"/>
        <v/>
      </c>
      <c r="M252" s="4"/>
      <c r="N252" s="79">
        <f>IF(OR($A252="",$B252=""),0,IF(COUNTIFS($A$5:$A252,$A252,$B$5:$B252,$B252)=1,1,0))</f>
        <v>0</v>
      </c>
      <c r="O252" s="79" t="str">
        <f t="shared" si="31"/>
        <v/>
      </c>
      <c r="P252" s="79" t="str">
        <f t="shared" si="32"/>
        <v/>
      </c>
      <c r="AL252" s="89" t="str">
        <f t="shared" ca="1" si="33"/>
        <v/>
      </c>
    </row>
    <row r="253" spans="1:38" x14ac:dyDescent="0.3">
      <c r="A253" s="70"/>
      <c r="B253" s="71"/>
      <c r="C253" s="71"/>
      <c r="D253" s="71"/>
      <c r="E253" s="72"/>
      <c r="F253" s="73"/>
      <c r="G253" s="74"/>
      <c r="H253" s="75" t="str">
        <f t="shared" si="26"/>
        <v/>
      </c>
      <c r="I253" s="16" t="str">
        <f t="shared" si="27"/>
        <v/>
      </c>
      <c r="J253" s="76" t="str">
        <f t="shared" si="28"/>
        <v/>
      </c>
      <c r="K253" s="77" t="str">
        <f t="shared" si="29"/>
        <v/>
      </c>
      <c r="L253" s="78" t="str">
        <f t="shared" si="30"/>
        <v/>
      </c>
      <c r="M253" s="4"/>
      <c r="N253" s="79">
        <f>IF(OR($A253="",$B253=""),0,IF(COUNTIFS($A$5:$A253,$A253,$B$5:$B253,$B253)=1,1,0))</f>
        <v>0</v>
      </c>
      <c r="O253" s="79" t="str">
        <f t="shared" si="31"/>
        <v/>
      </c>
      <c r="P253" s="79" t="str">
        <f t="shared" si="32"/>
        <v/>
      </c>
      <c r="AL253" s="89" t="str">
        <f t="shared" ca="1" si="33"/>
        <v/>
      </c>
    </row>
    <row r="254" spans="1:38" x14ac:dyDescent="0.3">
      <c r="A254" s="70"/>
      <c r="B254" s="71"/>
      <c r="C254" s="71"/>
      <c r="D254" s="71"/>
      <c r="E254" s="72"/>
      <c r="F254" s="73"/>
      <c r="G254" s="74"/>
      <c r="H254" s="75" t="str">
        <f t="shared" si="26"/>
        <v/>
      </c>
      <c r="I254" s="16" t="str">
        <f t="shared" si="27"/>
        <v/>
      </c>
      <c r="J254" s="76" t="str">
        <f t="shared" si="28"/>
        <v/>
      </c>
      <c r="K254" s="77" t="str">
        <f t="shared" si="29"/>
        <v/>
      </c>
      <c r="L254" s="78" t="str">
        <f t="shared" si="30"/>
        <v/>
      </c>
      <c r="M254" s="4"/>
      <c r="N254" s="79">
        <f>IF(OR($A254="",$B254=""),0,IF(COUNTIFS($A$5:$A254,$A254,$B$5:$B254,$B254)=1,1,0))</f>
        <v>0</v>
      </c>
      <c r="O254" s="79" t="str">
        <f t="shared" si="31"/>
        <v/>
      </c>
      <c r="P254" s="79" t="str">
        <f t="shared" si="32"/>
        <v/>
      </c>
      <c r="AL254" s="89" t="str">
        <f t="shared" ca="1" si="33"/>
        <v/>
      </c>
    </row>
    <row r="255" spans="1:38" x14ac:dyDescent="0.3">
      <c r="A255" s="70"/>
      <c r="B255" s="71"/>
      <c r="C255" s="71"/>
      <c r="D255" s="71"/>
      <c r="E255" s="72"/>
      <c r="F255" s="73"/>
      <c r="G255" s="74"/>
      <c r="H255" s="75" t="str">
        <f t="shared" si="26"/>
        <v/>
      </c>
      <c r="I255" s="16" t="str">
        <f t="shared" si="27"/>
        <v/>
      </c>
      <c r="J255" s="76" t="str">
        <f t="shared" si="28"/>
        <v/>
      </c>
      <c r="K255" s="77" t="str">
        <f t="shared" si="29"/>
        <v/>
      </c>
      <c r="L255" s="78" t="str">
        <f t="shared" si="30"/>
        <v/>
      </c>
      <c r="M255" s="4"/>
      <c r="N255" s="79">
        <f>IF(OR($A255="",$B255=""),0,IF(COUNTIFS($A$5:$A255,$A255,$B$5:$B255,$B255)=1,1,0))</f>
        <v>0</v>
      </c>
      <c r="O255" s="79" t="str">
        <f t="shared" si="31"/>
        <v/>
      </c>
      <c r="P255" s="79" t="str">
        <f t="shared" si="32"/>
        <v/>
      </c>
      <c r="AL255" s="89" t="str">
        <f t="shared" ca="1" si="33"/>
        <v/>
      </c>
    </row>
    <row r="256" spans="1:38" x14ac:dyDescent="0.3">
      <c r="A256" s="70"/>
      <c r="B256" s="71"/>
      <c r="C256" s="71"/>
      <c r="D256" s="71"/>
      <c r="E256" s="72"/>
      <c r="F256" s="73"/>
      <c r="G256" s="74"/>
      <c r="H256" s="75" t="str">
        <f t="shared" si="26"/>
        <v/>
      </c>
      <c r="I256" s="16" t="str">
        <f t="shared" si="27"/>
        <v/>
      </c>
      <c r="J256" s="76" t="str">
        <f t="shared" si="28"/>
        <v/>
      </c>
      <c r="K256" s="77" t="str">
        <f t="shared" si="29"/>
        <v/>
      </c>
      <c r="L256" s="78" t="str">
        <f t="shared" si="30"/>
        <v/>
      </c>
      <c r="M256" s="4"/>
      <c r="N256" s="79">
        <f>IF(OR($A256="",$B256=""),0,IF(COUNTIFS($A$5:$A256,$A256,$B$5:$B256,$B256)=1,1,0))</f>
        <v>0</v>
      </c>
      <c r="O256" s="79" t="str">
        <f t="shared" si="31"/>
        <v/>
      </c>
      <c r="P256" s="79" t="str">
        <f t="shared" si="32"/>
        <v/>
      </c>
      <c r="AL256" s="89" t="str">
        <f t="shared" ca="1" si="33"/>
        <v/>
      </c>
    </row>
    <row r="257" spans="1:38" x14ac:dyDescent="0.3">
      <c r="A257" s="70"/>
      <c r="B257" s="71"/>
      <c r="C257" s="71"/>
      <c r="D257" s="71"/>
      <c r="E257" s="72"/>
      <c r="F257" s="73"/>
      <c r="G257" s="74"/>
      <c r="H257" s="75" t="str">
        <f t="shared" si="26"/>
        <v/>
      </c>
      <c r="I257" s="16" t="str">
        <f t="shared" si="27"/>
        <v/>
      </c>
      <c r="J257" s="76" t="str">
        <f t="shared" si="28"/>
        <v/>
      </c>
      <c r="K257" s="77" t="str">
        <f t="shared" si="29"/>
        <v/>
      </c>
      <c r="L257" s="78" t="str">
        <f t="shared" si="30"/>
        <v/>
      </c>
      <c r="M257" s="4"/>
      <c r="N257" s="79">
        <f>IF(OR($A257="",$B257=""),0,IF(COUNTIFS($A$5:$A257,$A257,$B$5:$B257,$B257)=1,1,0))</f>
        <v>0</v>
      </c>
      <c r="O257" s="79" t="str">
        <f t="shared" si="31"/>
        <v/>
      </c>
      <c r="P257" s="79" t="str">
        <f t="shared" si="32"/>
        <v/>
      </c>
      <c r="AL257" s="89" t="str">
        <f t="shared" ca="1" si="33"/>
        <v/>
      </c>
    </row>
    <row r="258" spans="1:38" x14ac:dyDescent="0.3">
      <c r="A258" s="70"/>
      <c r="B258" s="71"/>
      <c r="C258" s="71"/>
      <c r="D258" s="71"/>
      <c r="E258" s="72"/>
      <c r="F258" s="73"/>
      <c r="G258" s="74"/>
      <c r="H258" s="75" t="str">
        <f t="shared" si="26"/>
        <v/>
      </c>
      <c r="I258" s="16" t="str">
        <f t="shared" si="27"/>
        <v/>
      </c>
      <c r="J258" s="76" t="str">
        <f t="shared" si="28"/>
        <v/>
      </c>
      <c r="K258" s="77" t="str">
        <f t="shared" si="29"/>
        <v/>
      </c>
      <c r="L258" s="78" t="str">
        <f t="shared" si="30"/>
        <v/>
      </c>
      <c r="M258" s="4"/>
      <c r="N258" s="79">
        <f>IF(OR($A258="",$B258=""),0,IF(COUNTIFS($A$5:$A258,$A258,$B$5:$B258,$B258)=1,1,0))</f>
        <v>0</v>
      </c>
      <c r="O258" s="79" t="str">
        <f t="shared" si="31"/>
        <v/>
      </c>
      <c r="P258" s="79" t="str">
        <f t="shared" si="32"/>
        <v/>
      </c>
      <c r="AL258" s="89" t="str">
        <f t="shared" ca="1" si="33"/>
        <v/>
      </c>
    </row>
    <row r="259" spans="1:38" x14ac:dyDescent="0.3">
      <c r="A259" s="70"/>
      <c r="B259" s="71"/>
      <c r="C259" s="71"/>
      <c r="D259" s="71"/>
      <c r="E259" s="72"/>
      <c r="F259" s="73"/>
      <c r="G259" s="74"/>
      <c r="H259" s="75" t="str">
        <f t="shared" si="26"/>
        <v/>
      </c>
      <c r="I259" s="16" t="str">
        <f t="shared" si="27"/>
        <v/>
      </c>
      <c r="J259" s="76" t="str">
        <f t="shared" si="28"/>
        <v/>
      </c>
      <c r="K259" s="77" t="str">
        <f t="shared" si="29"/>
        <v/>
      </c>
      <c r="L259" s="78" t="str">
        <f t="shared" si="30"/>
        <v/>
      </c>
      <c r="M259" s="4"/>
      <c r="N259" s="79">
        <f>IF(OR($A259="",$B259=""),0,IF(COUNTIFS($A$5:$A259,$A259,$B$5:$B259,$B259)=1,1,0))</f>
        <v>0</v>
      </c>
      <c r="O259" s="79" t="str">
        <f t="shared" si="31"/>
        <v/>
      </c>
      <c r="P259" s="79" t="str">
        <f t="shared" si="32"/>
        <v/>
      </c>
      <c r="AL259" s="89" t="str">
        <f t="shared" ca="1" si="33"/>
        <v/>
      </c>
    </row>
    <row r="260" spans="1:38" x14ac:dyDescent="0.3">
      <c r="A260" s="70"/>
      <c r="B260" s="71"/>
      <c r="C260" s="71"/>
      <c r="D260" s="71"/>
      <c r="E260" s="72"/>
      <c r="F260" s="73"/>
      <c r="G260" s="74"/>
      <c r="H260" s="75" t="str">
        <f t="shared" si="26"/>
        <v/>
      </c>
      <c r="I260" s="16" t="str">
        <f t="shared" si="27"/>
        <v/>
      </c>
      <c r="J260" s="76" t="str">
        <f t="shared" si="28"/>
        <v/>
      </c>
      <c r="K260" s="77" t="str">
        <f t="shared" si="29"/>
        <v/>
      </c>
      <c r="L260" s="78" t="str">
        <f t="shared" si="30"/>
        <v/>
      </c>
      <c r="M260" s="4"/>
      <c r="N260" s="79">
        <f>IF(OR($A260="",$B260=""),0,IF(COUNTIFS($A$5:$A260,$A260,$B$5:$B260,$B260)=1,1,0))</f>
        <v>0</v>
      </c>
      <c r="O260" s="79" t="str">
        <f t="shared" si="31"/>
        <v/>
      </c>
      <c r="P260" s="79" t="str">
        <f t="shared" si="32"/>
        <v/>
      </c>
      <c r="AL260" s="89" t="str">
        <f t="shared" ca="1" si="33"/>
        <v/>
      </c>
    </row>
    <row r="261" spans="1:38" x14ac:dyDescent="0.3">
      <c r="A261" s="70"/>
      <c r="B261" s="71"/>
      <c r="C261" s="71"/>
      <c r="D261" s="71"/>
      <c r="E261" s="72"/>
      <c r="F261" s="73"/>
      <c r="G261" s="74"/>
      <c r="H261" s="75" t="str">
        <f t="shared" ref="H261:H324" si="34">IF(OR($A261="",$B261="",$I261=""),"",SUMPRODUCT(($A$5:$A$604=$A261)*($B$5:$B$604=$B261)*($I$5:$I$604&lt;&gt;"")*($I$5:$I$604&lt;$I261))+SUMPRODUCT(($A$5:$A$604=$A261)*($B$5:$B$604=$B261)*($I$5:$I$604=$I261)*(ROW($I$5:$I$604)&lt;=ROW($I261))))</f>
        <v/>
      </c>
      <c r="I261" s="16" t="str">
        <f t="shared" ref="I261:I324" si="35">IF(TRIM($C261&amp;$D261)="","",PROPER(TRIM($C261))&amp;" "&amp;UPPER(TRIM($D261)))</f>
        <v/>
      </c>
      <c r="J261" s="76" t="str">
        <f t="shared" ref="J261:J324" si="36">IF(OR($A261="",$B261="",$H261=""),"",$A261&amp;"|"&amp;$B261&amp;"|"&amp;$H261)</f>
        <v/>
      </c>
      <c r="K261" s="77" t="str">
        <f t="shared" ref="K261:K324" si="37">IF(COUNTA($A261:$E261)=0,"",IF($A261="","← Nurodykite lygą (A / B / C)",IF($B261="","← Nurodykite komandą",IF(TRIM($C261)="","← Nurodykite vardą",IF(TRIM($D261)="","← Nurodykite pavardę",IF(NOT(ISNUMBER($E261)),"← Nurodykite Hcp (jei neturi – 0)",IF(AND(OR($A261="B",$A261="C"),NOT(OR($F261="Rytai",$F261="Vakarai"))),"← Nurodykite pogrupį (Rytai / Vakarai)",IF(AND($A261="A",OR($F261="Rytai",$F261="Vakarai")),"← A lygos komandos į pogrupius neskirstomos",IF(COUNTIFS($A$5:$A$604,$A261,$B$5:$B$604,$B261,$F$5:$F$604,"&lt;&gt;"&amp;$F261)&gt;0,"← Šios komandos pogrupis nurodytas nevienodai",IF($H261&gt;8,"← Šioje komandoje jau daugiau nei 8 žaidėjai",""))))))))))</f>
        <v/>
      </c>
      <c r="L261" s="78" t="str">
        <f t="shared" ref="L261:L324" si="38">IF($I261="","",IF(COUNTIF($I$5:$I$604,$I261)&gt;1,"ℹ tokių pačių vardų sąraše: "&amp;COUNTIF($I$5:$I$604,$I261),IF(AND($B261&lt;&gt;"",COUNTIFS($A$5:$A$604,$A261,$B$5:$B$604,$B261)&lt;3),"ℹ šioje komandoje tik "&amp;COUNTIFS($A$5:$A$604,$A261,$B$5:$B$604,$B261)&amp;" žaid. – ar ne rašybos klaida?","")))</f>
        <v/>
      </c>
      <c r="M261" s="4"/>
      <c r="N261" s="79">
        <f>IF(OR($A261="",$B261=""),0,IF(COUNTIFS($A$5:$A261,$A261,$B$5:$B261,$B261)=1,1,0))</f>
        <v>0</v>
      </c>
      <c r="O261" s="79" t="str">
        <f t="shared" ref="O261:O324" si="39">IF($N261&lt;&gt;1,"",1+SUMPRODUCT(($A$5:$A$604=$A261)*($B$5:$B$604&lt;$B261)*($N$5:$N$604=1)))</f>
        <v/>
      </c>
      <c r="P261" s="79" t="str">
        <f t="shared" ref="P261:P324" si="40">IF(OR($N261&lt;&gt;1,$A261&lt;&gt;Lyga,AND(Pogrupis&lt;&gt;"",$F261&lt;&gt;Pogrupis)),"",1+SUMPRODUCT(($A$5:$A$604=Lyga)*($N$5:$N$604=1)*($B$5:$B$604&lt;$B261)*((($F$5:$F$604=Pogrupis)+(Pogrupis=""))&gt;0)))</f>
        <v/>
      </c>
      <c r="AL261" s="89" t="str">
        <f t="shared" ref="AL261:AL324" ca="1" si="41">IF(NOT(OR($A261="A",$A261="B",$A261="C")),"","ADMIN_Duomenys!$"&amp;IF($A261="A","W",IF($A261="B","Y","AA"))&amp;"$5:$"&amp;IF($A261="A","W",IF($A261="B","Y","AA"))&amp;"$"&amp;(4+MAX(1,COUNTIF(INDIRECT("ADMIN_Duomenys!$"&amp;IF($A261="A","W",IF($A261="B","Y","AA"))&amp;"$5:$"&amp;IF($A261="A","W",IF($A261="B","Y","AA"))&amp;"$44"),"?*"))))</f>
        <v/>
      </c>
    </row>
    <row r="262" spans="1:38" x14ac:dyDescent="0.3">
      <c r="A262" s="70"/>
      <c r="B262" s="71"/>
      <c r="C262" s="71"/>
      <c r="D262" s="71"/>
      <c r="E262" s="72"/>
      <c r="F262" s="73"/>
      <c r="G262" s="74"/>
      <c r="H262" s="75" t="str">
        <f t="shared" si="34"/>
        <v/>
      </c>
      <c r="I262" s="16" t="str">
        <f t="shared" si="35"/>
        <v/>
      </c>
      <c r="J262" s="76" t="str">
        <f t="shared" si="36"/>
        <v/>
      </c>
      <c r="K262" s="77" t="str">
        <f t="shared" si="37"/>
        <v/>
      </c>
      <c r="L262" s="78" t="str">
        <f t="shared" si="38"/>
        <v/>
      </c>
      <c r="M262" s="4"/>
      <c r="N262" s="79">
        <f>IF(OR($A262="",$B262=""),0,IF(COUNTIFS($A$5:$A262,$A262,$B$5:$B262,$B262)=1,1,0))</f>
        <v>0</v>
      </c>
      <c r="O262" s="79" t="str">
        <f t="shared" si="39"/>
        <v/>
      </c>
      <c r="P262" s="79" t="str">
        <f t="shared" si="40"/>
        <v/>
      </c>
      <c r="AL262" s="89" t="str">
        <f t="shared" ca="1" si="41"/>
        <v/>
      </c>
    </row>
    <row r="263" spans="1:38" x14ac:dyDescent="0.3">
      <c r="A263" s="70"/>
      <c r="B263" s="71"/>
      <c r="C263" s="71"/>
      <c r="D263" s="71"/>
      <c r="E263" s="72"/>
      <c r="F263" s="73"/>
      <c r="G263" s="74"/>
      <c r="H263" s="75" t="str">
        <f t="shared" si="34"/>
        <v/>
      </c>
      <c r="I263" s="16" t="str">
        <f t="shared" si="35"/>
        <v/>
      </c>
      <c r="J263" s="76" t="str">
        <f t="shared" si="36"/>
        <v/>
      </c>
      <c r="K263" s="77" t="str">
        <f t="shared" si="37"/>
        <v/>
      </c>
      <c r="L263" s="78" t="str">
        <f t="shared" si="38"/>
        <v/>
      </c>
      <c r="M263" s="4"/>
      <c r="N263" s="79">
        <f>IF(OR($A263="",$B263=""),0,IF(COUNTIFS($A$5:$A263,$A263,$B$5:$B263,$B263)=1,1,0))</f>
        <v>0</v>
      </c>
      <c r="O263" s="79" t="str">
        <f t="shared" si="39"/>
        <v/>
      </c>
      <c r="P263" s="79" t="str">
        <f t="shared" si="40"/>
        <v/>
      </c>
      <c r="AL263" s="89" t="str">
        <f t="shared" ca="1" si="41"/>
        <v/>
      </c>
    </row>
    <row r="264" spans="1:38" x14ac:dyDescent="0.3">
      <c r="A264" s="70"/>
      <c r="B264" s="71"/>
      <c r="C264" s="71"/>
      <c r="D264" s="71"/>
      <c r="E264" s="72"/>
      <c r="F264" s="73"/>
      <c r="G264" s="74"/>
      <c r="H264" s="75" t="str">
        <f t="shared" si="34"/>
        <v/>
      </c>
      <c r="I264" s="16" t="str">
        <f t="shared" si="35"/>
        <v/>
      </c>
      <c r="J264" s="76" t="str">
        <f t="shared" si="36"/>
        <v/>
      </c>
      <c r="K264" s="77" t="str">
        <f t="shared" si="37"/>
        <v/>
      </c>
      <c r="L264" s="78" t="str">
        <f t="shared" si="38"/>
        <v/>
      </c>
      <c r="M264" s="4"/>
      <c r="N264" s="79">
        <f>IF(OR($A264="",$B264=""),0,IF(COUNTIFS($A$5:$A264,$A264,$B$5:$B264,$B264)=1,1,0))</f>
        <v>0</v>
      </c>
      <c r="O264" s="79" t="str">
        <f t="shared" si="39"/>
        <v/>
      </c>
      <c r="P264" s="79" t="str">
        <f t="shared" si="40"/>
        <v/>
      </c>
      <c r="AL264" s="89" t="str">
        <f t="shared" ca="1" si="41"/>
        <v/>
      </c>
    </row>
    <row r="265" spans="1:38" x14ac:dyDescent="0.3">
      <c r="A265" s="70"/>
      <c r="B265" s="71"/>
      <c r="C265" s="71"/>
      <c r="D265" s="71"/>
      <c r="E265" s="72"/>
      <c r="F265" s="73"/>
      <c r="G265" s="74"/>
      <c r="H265" s="75" t="str">
        <f t="shared" si="34"/>
        <v/>
      </c>
      <c r="I265" s="16" t="str">
        <f t="shared" si="35"/>
        <v/>
      </c>
      <c r="J265" s="76" t="str">
        <f t="shared" si="36"/>
        <v/>
      </c>
      <c r="K265" s="77" t="str">
        <f t="shared" si="37"/>
        <v/>
      </c>
      <c r="L265" s="78" t="str">
        <f t="shared" si="38"/>
        <v/>
      </c>
      <c r="M265" s="4"/>
      <c r="N265" s="79">
        <f>IF(OR($A265="",$B265=""),0,IF(COUNTIFS($A$5:$A265,$A265,$B$5:$B265,$B265)=1,1,0))</f>
        <v>0</v>
      </c>
      <c r="O265" s="79" t="str">
        <f t="shared" si="39"/>
        <v/>
      </c>
      <c r="P265" s="79" t="str">
        <f t="shared" si="40"/>
        <v/>
      </c>
      <c r="AL265" s="89" t="str">
        <f t="shared" ca="1" si="41"/>
        <v/>
      </c>
    </row>
    <row r="266" spans="1:38" x14ac:dyDescent="0.3">
      <c r="A266" s="70"/>
      <c r="B266" s="71"/>
      <c r="C266" s="71"/>
      <c r="D266" s="71"/>
      <c r="E266" s="72"/>
      <c r="F266" s="73"/>
      <c r="G266" s="74"/>
      <c r="H266" s="75" t="str">
        <f t="shared" si="34"/>
        <v/>
      </c>
      <c r="I266" s="16" t="str">
        <f t="shared" si="35"/>
        <v/>
      </c>
      <c r="J266" s="76" t="str">
        <f t="shared" si="36"/>
        <v/>
      </c>
      <c r="K266" s="77" t="str">
        <f t="shared" si="37"/>
        <v/>
      </c>
      <c r="L266" s="78" t="str">
        <f t="shared" si="38"/>
        <v/>
      </c>
      <c r="M266" s="4"/>
      <c r="N266" s="79">
        <f>IF(OR($A266="",$B266=""),0,IF(COUNTIFS($A$5:$A266,$A266,$B$5:$B266,$B266)=1,1,0))</f>
        <v>0</v>
      </c>
      <c r="O266" s="79" t="str">
        <f t="shared" si="39"/>
        <v/>
      </c>
      <c r="P266" s="79" t="str">
        <f t="shared" si="40"/>
        <v/>
      </c>
      <c r="AL266" s="89" t="str">
        <f t="shared" ca="1" si="41"/>
        <v/>
      </c>
    </row>
    <row r="267" spans="1:38" x14ac:dyDescent="0.3">
      <c r="A267" s="70"/>
      <c r="B267" s="71"/>
      <c r="C267" s="71"/>
      <c r="D267" s="71"/>
      <c r="E267" s="72"/>
      <c r="F267" s="73"/>
      <c r="G267" s="74"/>
      <c r="H267" s="75" t="str">
        <f t="shared" si="34"/>
        <v/>
      </c>
      <c r="I267" s="16" t="str">
        <f t="shared" si="35"/>
        <v/>
      </c>
      <c r="J267" s="76" t="str">
        <f t="shared" si="36"/>
        <v/>
      </c>
      <c r="K267" s="77" t="str">
        <f t="shared" si="37"/>
        <v/>
      </c>
      <c r="L267" s="78" t="str">
        <f t="shared" si="38"/>
        <v/>
      </c>
      <c r="M267" s="4"/>
      <c r="N267" s="79">
        <f>IF(OR($A267="",$B267=""),0,IF(COUNTIFS($A$5:$A267,$A267,$B$5:$B267,$B267)=1,1,0))</f>
        <v>0</v>
      </c>
      <c r="O267" s="79" t="str">
        <f t="shared" si="39"/>
        <v/>
      </c>
      <c r="P267" s="79" t="str">
        <f t="shared" si="40"/>
        <v/>
      </c>
      <c r="AL267" s="89" t="str">
        <f t="shared" ca="1" si="41"/>
        <v/>
      </c>
    </row>
    <row r="268" spans="1:38" x14ac:dyDescent="0.3">
      <c r="A268" s="70"/>
      <c r="B268" s="71"/>
      <c r="C268" s="71"/>
      <c r="D268" s="71"/>
      <c r="E268" s="72"/>
      <c r="F268" s="73"/>
      <c r="G268" s="74"/>
      <c r="H268" s="75" t="str">
        <f t="shared" si="34"/>
        <v/>
      </c>
      <c r="I268" s="16" t="str">
        <f t="shared" si="35"/>
        <v/>
      </c>
      <c r="J268" s="76" t="str">
        <f t="shared" si="36"/>
        <v/>
      </c>
      <c r="K268" s="77" t="str">
        <f t="shared" si="37"/>
        <v/>
      </c>
      <c r="L268" s="78" t="str">
        <f t="shared" si="38"/>
        <v/>
      </c>
      <c r="M268" s="4"/>
      <c r="N268" s="79">
        <f>IF(OR($A268="",$B268=""),0,IF(COUNTIFS($A$5:$A268,$A268,$B$5:$B268,$B268)=1,1,0))</f>
        <v>0</v>
      </c>
      <c r="O268" s="79" t="str">
        <f t="shared" si="39"/>
        <v/>
      </c>
      <c r="P268" s="79" t="str">
        <f t="shared" si="40"/>
        <v/>
      </c>
      <c r="AL268" s="89" t="str">
        <f t="shared" ca="1" si="41"/>
        <v/>
      </c>
    </row>
    <row r="269" spans="1:38" x14ac:dyDescent="0.3">
      <c r="A269" s="70"/>
      <c r="B269" s="71"/>
      <c r="C269" s="71"/>
      <c r="D269" s="71"/>
      <c r="E269" s="72"/>
      <c r="F269" s="73"/>
      <c r="G269" s="74"/>
      <c r="H269" s="75" t="str">
        <f t="shared" si="34"/>
        <v/>
      </c>
      <c r="I269" s="16" t="str">
        <f t="shared" si="35"/>
        <v/>
      </c>
      <c r="J269" s="76" t="str">
        <f t="shared" si="36"/>
        <v/>
      </c>
      <c r="K269" s="77" t="str">
        <f t="shared" si="37"/>
        <v/>
      </c>
      <c r="L269" s="78" t="str">
        <f t="shared" si="38"/>
        <v/>
      </c>
      <c r="M269" s="4"/>
      <c r="N269" s="79">
        <f>IF(OR($A269="",$B269=""),0,IF(COUNTIFS($A$5:$A269,$A269,$B$5:$B269,$B269)=1,1,0))</f>
        <v>0</v>
      </c>
      <c r="O269" s="79" t="str">
        <f t="shared" si="39"/>
        <v/>
      </c>
      <c r="P269" s="79" t="str">
        <f t="shared" si="40"/>
        <v/>
      </c>
      <c r="AL269" s="89" t="str">
        <f t="shared" ca="1" si="41"/>
        <v/>
      </c>
    </row>
    <row r="270" spans="1:38" x14ac:dyDescent="0.3">
      <c r="A270" s="70"/>
      <c r="B270" s="71"/>
      <c r="C270" s="71"/>
      <c r="D270" s="71"/>
      <c r="E270" s="72"/>
      <c r="F270" s="73"/>
      <c r="G270" s="74"/>
      <c r="H270" s="75" t="str">
        <f t="shared" si="34"/>
        <v/>
      </c>
      <c r="I270" s="16" t="str">
        <f t="shared" si="35"/>
        <v/>
      </c>
      <c r="J270" s="76" t="str">
        <f t="shared" si="36"/>
        <v/>
      </c>
      <c r="K270" s="77" t="str">
        <f t="shared" si="37"/>
        <v/>
      </c>
      <c r="L270" s="78" t="str">
        <f t="shared" si="38"/>
        <v/>
      </c>
      <c r="M270" s="4"/>
      <c r="N270" s="79">
        <f>IF(OR($A270="",$B270=""),0,IF(COUNTIFS($A$5:$A270,$A270,$B$5:$B270,$B270)=1,1,0))</f>
        <v>0</v>
      </c>
      <c r="O270" s="79" t="str">
        <f t="shared" si="39"/>
        <v/>
      </c>
      <c r="P270" s="79" t="str">
        <f t="shared" si="40"/>
        <v/>
      </c>
      <c r="AL270" s="89" t="str">
        <f t="shared" ca="1" si="41"/>
        <v/>
      </c>
    </row>
    <row r="271" spans="1:38" x14ac:dyDescent="0.3">
      <c r="A271" s="70"/>
      <c r="B271" s="71"/>
      <c r="C271" s="71"/>
      <c r="D271" s="71"/>
      <c r="E271" s="72"/>
      <c r="F271" s="73"/>
      <c r="G271" s="74"/>
      <c r="H271" s="75" t="str">
        <f t="shared" si="34"/>
        <v/>
      </c>
      <c r="I271" s="16" t="str">
        <f t="shared" si="35"/>
        <v/>
      </c>
      <c r="J271" s="76" t="str">
        <f t="shared" si="36"/>
        <v/>
      </c>
      <c r="K271" s="77" t="str">
        <f t="shared" si="37"/>
        <v/>
      </c>
      <c r="L271" s="78" t="str">
        <f t="shared" si="38"/>
        <v/>
      </c>
      <c r="M271" s="4"/>
      <c r="N271" s="79">
        <f>IF(OR($A271="",$B271=""),0,IF(COUNTIFS($A$5:$A271,$A271,$B$5:$B271,$B271)=1,1,0))</f>
        <v>0</v>
      </c>
      <c r="O271" s="79" t="str">
        <f t="shared" si="39"/>
        <v/>
      </c>
      <c r="P271" s="79" t="str">
        <f t="shared" si="40"/>
        <v/>
      </c>
      <c r="AL271" s="89" t="str">
        <f t="shared" ca="1" si="41"/>
        <v/>
      </c>
    </row>
    <row r="272" spans="1:38" x14ac:dyDescent="0.3">
      <c r="A272" s="70"/>
      <c r="B272" s="71"/>
      <c r="C272" s="71"/>
      <c r="D272" s="71"/>
      <c r="E272" s="72"/>
      <c r="F272" s="73"/>
      <c r="G272" s="74"/>
      <c r="H272" s="75" t="str">
        <f t="shared" si="34"/>
        <v/>
      </c>
      <c r="I272" s="16" t="str">
        <f t="shared" si="35"/>
        <v/>
      </c>
      <c r="J272" s="76" t="str">
        <f t="shared" si="36"/>
        <v/>
      </c>
      <c r="K272" s="77" t="str">
        <f t="shared" si="37"/>
        <v/>
      </c>
      <c r="L272" s="78" t="str">
        <f t="shared" si="38"/>
        <v/>
      </c>
      <c r="M272" s="4"/>
      <c r="N272" s="79">
        <f>IF(OR($A272="",$B272=""),0,IF(COUNTIFS($A$5:$A272,$A272,$B$5:$B272,$B272)=1,1,0))</f>
        <v>0</v>
      </c>
      <c r="O272" s="79" t="str">
        <f t="shared" si="39"/>
        <v/>
      </c>
      <c r="P272" s="79" t="str">
        <f t="shared" si="40"/>
        <v/>
      </c>
      <c r="AL272" s="89" t="str">
        <f t="shared" ca="1" si="41"/>
        <v/>
      </c>
    </row>
    <row r="273" spans="1:38" x14ac:dyDescent="0.3">
      <c r="A273" s="70"/>
      <c r="B273" s="71"/>
      <c r="C273" s="71"/>
      <c r="D273" s="71"/>
      <c r="E273" s="72"/>
      <c r="F273" s="73"/>
      <c r="G273" s="74"/>
      <c r="H273" s="75" t="str">
        <f t="shared" si="34"/>
        <v/>
      </c>
      <c r="I273" s="16" t="str">
        <f t="shared" si="35"/>
        <v/>
      </c>
      <c r="J273" s="76" t="str">
        <f t="shared" si="36"/>
        <v/>
      </c>
      <c r="K273" s="77" t="str">
        <f t="shared" si="37"/>
        <v/>
      </c>
      <c r="L273" s="78" t="str">
        <f t="shared" si="38"/>
        <v/>
      </c>
      <c r="M273" s="4"/>
      <c r="N273" s="79">
        <f>IF(OR($A273="",$B273=""),0,IF(COUNTIFS($A$5:$A273,$A273,$B$5:$B273,$B273)=1,1,0))</f>
        <v>0</v>
      </c>
      <c r="O273" s="79" t="str">
        <f t="shared" si="39"/>
        <v/>
      </c>
      <c r="P273" s="79" t="str">
        <f t="shared" si="40"/>
        <v/>
      </c>
      <c r="AL273" s="89" t="str">
        <f t="shared" ca="1" si="41"/>
        <v/>
      </c>
    </row>
    <row r="274" spans="1:38" x14ac:dyDescent="0.3">
      <c r="A274" s="70"/>
      <c r="B274" s="71"/>
      <c r="C274" s="71"/>
      <c r="D274" s="71"/>
      <c r="E274" s="72"/>
      <c r="F274" s="73"/>
      <c r="G274" s="74"/>
      <c r="H274" s="75" t="str">
        <f t="shared" si="34"/>
        <v/>
      </c>
      <c r="I274" s="16" t="str">
        <f t="shared" si="35"/>
        <v/>
      </c>
      <c r="J274" s="76" t="str">
        <f t="shared" si="36"/>
        <v/>
      </c>
      <c r="K274" s="77" t="str">
        <f t="shared" si="37"/>
        <v/>
      </c>
      <c r="L274" s="78" t="str">
        <f t="shared" si="38"/>
        <v/>
      </c>
      <c r="M274" s="4"/>
      <c r="N274" s="79">
        <f>IF(OR($A274="",$B274=""),0,IF(COUNTIFS($A$5:$A274,$A274,$B$5:$B274,$B274)=1,1,0))</f>
        <v>0</v>
      </c>
      <c r="O274" s="79" t="str">
        <f t="shared" si="39"/>
        <v/>
      </c>
      <c r="P274" s="79" t="str">
        <f t="shared" si="40"/>
        <v/>
      </c>
      <c r="AL274" s="89" t="str">
        <f t="shared" ca="1" si="41"/>
        <v/>
      </c>
    </row>
    <row r="275" spans="1:38" x14ac:dyDescent="0.3">
      <c r="A275" s="70"/>
      <c r="B275" s="71"/>
      <c r="C275" s="71"/>
      <c r="D275" s="71"/>
      <c r="E275" s="72"/>
      <c r="F275" s="73"/>
      <c r="G275" s="74"/>
      <c r="H275" s="75" t="str">
        <f t="shared" si="34"/>
        <v/>
      </c>
      <c r="I275" s="16" t="str">
        <f t="shared" si="35"/>
        <v/>
      </c>
      <c r="J275" s="76" t="str">
        <f t="shared" si="36"/>
        <v/>
      </c>
      <c r="K275" s="77" t="str">
        <f t="shared" si="37"/>
        <v/>
      </c>
      <c r="L275" s="78" t="str">
        <f t="shared" si="38"/>
        <v/>
      </c>
      <c r="M275" s="4"/>
      <c r="N275" s="79">
        <f>IF(OR($A275="",$B275=""),0,IF(COUNTIFS($A$5:$A275,$A275,$B$5:$B275,$B275)=1,1,0))</f>
        <v>0</v>
      </c>
      <c r="O275" s="79" t="str">
        <f t="shared" si="39"/>
        <v/>
      </c>
      <c r="P275" s="79" t="str">
        <f t="shared" si="40"/>
        <v/>
      </c>
      <c r="AL275" s="89" t="str">
        <f t="shared" ca="1" si="41"/>
        <v/>
      </c>
    </row>
    <row r="276" spans="1:38" x14ac:dyDescent="0.3">
      <c r="A276" s="70"/>
      <c r="B276" s="71"/>
      <c r="C276" s="71"/>
      <c r="D276" s="71"/>
      <c r="E276" s="72"/>
      <c r="F276" s="73"/>
      <c r="G276" s="74"/>
      <c r="H276" s="75" t="str">
        <f t="shared" si="34"/>
        <v/>
      </c>
      <c r="I276" s="16" t="str">
        <f t="shared" si="35"/>
        <v/>
      </c>
      <c r="J276" s="76" t="str">
        <f t="shared" si="36"/>
        <v/>
      </c>
      <c r="K276" s="77" t="str">
        <f t="shared" si="37"/>
        <v/>
      </c>
      <c r="L276" s="78" t="str">
        <f t="shared" si="38"/>
        <v/>
      </c>
      <c r="M276" s="4"/>
      <c r="N276" s="79">
        <f>IF(OR($A276="",$B276=""),0,IF(COUNTIFS($A$5:$A276,$A276,$B$5:$B276,$B276)=1,1,0))</f>
        <v>0</v>
      </c>
      <c r="O276" s="79" t="str">
        <f t="shared" si="39"/>
        <v/>
      </c>
      <c r="P276" s="79" t="str">
        <f t="shared" si="40"/>
        <v/>
      </c>
      <c r="AL276" s="89" t="str">
        <f t="shared" ca="1" si="41"/>
        <v/>
      </c>
    </row>
    <row r="277" spans="1:38" x14ac:dyDescent="0.3">
      <c r="A277" s="70"/>
      <c r="B277" s="71"/>
      <c r="C277" s="71"/>
      <c r="D277" s="71"/>
      <c r="E277" s="72"/>
      <c r="F277" s="73"/>
      <c r="G277" s="74"/>
      <c r="H277" s="75" t="str">
        <f t="shared" si="34"/>
        <v/>
      </c>
      <c r="I277" s="16" t="str">
        <f t="shared" si="35"/>
        <v/>
      </c>
      <c r="J277" s="76" t="str">
        <f t="shared" si="36"/>
        <v/>
      </c>
      <c r="K277" s="77" t="str">
        <f t="shared" si="37"/>
        <v/>
      </c>
      <c r="L277" s="78" t="str">
        <f t="shared" si="38"/>
        <v/>
      </c>
      <c r="M277" s="4"/>
      <c r="N277" s="79">
        <f>IF(OR($A277="",$B277=""),0,IF(COUNTIFS($A$5:$A277,$A277,$B$5:$B277,$B277)=1,1,0))</f>
        <v>0</v>
      </c>
      <c r="O277" s="79" t="str">
        <f t="shared" si="39"/>
        <v/>
      </c>
      <c r="P277" s="79" t="str">
        <f t="shared" si="40"/>
        <v/>
      </c>
      <c r="AL277" s="89" t="str">
        <f t="shared" ca="1" si="41"/>
        <v/>
      </c>
    </row>
    <row r="278" spans="1:38" x14ac:dyDescent="0.3">
      <c r="A278" s="70"/>
      <c r="B278" s="71"/>
      <c r="C278" s="71"/>
      <c r="D278" s="71"/>
      <c r="E278" s="72"/>
      <c r="F278" s="73"/>
      <c r="G278" s="74"/>
      <c r="H278" s="75" t="str">
        <f t="shared" si="34"/>
        <v/>
      </c>
      <c r="I278" s="16" t="str">
        <f t="shared" si="35"/>
        <v/>
      </c>
      <c r="J278" s="76" t="str">
        <f t="shared" si="36"/>
        <v/>
      </c>
      <c r="K278" s="77" t="str">
        <f t="shared" si="37"/>
        <v/>
      </c>
      <c r="L278" s="78" t="str">
        <f t="shared" si="38"/>
        <v/>
      </c>
      <c r="M278" s="4"/>
      <c r="N278" s="79">
        <f>IF(OR($A278="",$B278=""),0,IF(COUNTIFS($A$5:$A278,$A278,$B$5:$B278,$B278)=1,1,0))</f>
        <v>0</v>
      </c>
      <c r="O278" s="79" t="str">
        <f t="shared" si="39"/>
        <v/>
      </c>
      <c r="P278" s="79" t="str">
        <f t="shared" si="40"/>
        <v/>
      </c>
      <c r="AL278" s="89" t="str">
        <f t="shared" ca="1" si="41"/>
        <v/>
      </c>
    </row>
    <row r="279" spans="1:38" x14ac:dyDescent="0.3">
      <c r="A279" s="70"/>
      <c r="B279" s="71"/>
      <c r="C279" s="71"/>
      <c r="D279" s="71"/>
      <c r="E279" s="72"/>
      <c r="F279" s="73"/>
      <c r="G279" s="74"/>
      <c r="H279" s="75" t="str">
        <f t="shared" si="34"/>
        <v/>
      </c>
      <c r="I279" s="16" t="str">
        <f t="shared" si="35"/>
        <v/>
      </c>
      <c r="J279" s="76" t="str">
        <f t="shared" si="36"/>
        <v/>
      </c>
      <c r="K279" s="77" t="str">
        <f t="shared" si="37"/>
        <v/>
      </c>
      <c r="L279" s="78" t="str">
        <f t="shared" si="38"/>
        <v/>
      </c>
      <c r="M279" s="4"/>
      <c r="N279" s="79">
        <f>IF(OR($A279="",$B279=""),0,IF(COUNTIFS($A$5:$A279,$A279,$B$5:$B279,$B279)=1,1,0))</f>
        <v>0</v>
      </c>
      <c r="O279" s="79" t="str">
        <f t="shared" si="39"/>
        <v/>
      </c>
      <c r="P279" s="79" t="str">
        <f t="shared" si="40"/>
        <v/>
      </c>
      <c r="AL279" s="89" t="str">
        <f t="shared" ca="1" si="41"/>
        <v/>
      </c>
    </row>
    <row r="280" spans="1:38" x14ac:dyDescent="0.3">
      <c r="A280" s="70"/>
      <c r="B280" s="71"/>
      <c r="C280" s="71"/>
      <c r="D280" s="71"/>
      <c r="E280" s="72"/>
      <c r="F280" s="73"/>
      <c r="G280" s="74"/>
      <c r="H280" s="75" t="str">
        <f t="shared" si="34"/>
        <v/>
      </c>
      <c r="I280" s="16" t="str">
        <f t="shared" si="35"/>
        <v/>
      </c>
      <c r="J280" s="76" t="str">
        <f t="shared" si="36"/>
        <v/>
      </c>
      <c r="K280" s="77" t="str">
        <f t="shared" si="37"/>
        <v/>
      </c>
      <c r="L280" s="78" t="str">
        <f t="shared" si="38"/>
        <v/>
      </c>
      <c r="M280" s="4"/>
      <c r="N280" s="79">
        <f>IF(OR($A280="",$B280=""),0,IF(COUNTIFS($A$5:$A280,$A280,$B$5:$B280,$B280)=1,1,0))</f>
        <v>0</v>
      </c>
      <c r="O280" s="79" t="str">
        <f t="shared" si="39"/>
        <v/>
      </c>
      <c r="P280" s="79" t="str">
        <f t="shared" si="40"/>
        <v/>
      </c>
      <c r="AL280" s="89" t="str">
        <f t="shared" ca="1" si="41"/>
        <v/>
      </c>
    </row>
    <row r="281" spans="1:38" x14ac:dyDescent="0.3">
      <c r="A281" s="70"/>
      <c r="B281" s="71"/>
      <c r="C281" s="71"/>
      <c r="D281" s="71"/>
      <c r="E281" s="72"/>
      <c r="F281" s="73"/>
      <c r="G281" s="74"/>
      <c r="H281" s="75" t="str">
        <f t="shared" si="34"/>
        <v/>
      </c>
      <c r="I281" s="16" t="str">
        <f t="shared" si="35"/>
        <v/>
      </c>
      <c r="J281" s="76" t="str">
        <f t="shared" si="36"/>
        <v/>
      </c>
      <c r="K281" s="77" t="str">
        <f t="shared" si="37"/>
        <v/>
      </c>
      <c r="L281" s="78" t="str">
        <f t="shared" si="38"/>
        <v/>
      </c>
      <c r="M281" s="4"/>
      <c r="N281" s="79">
        <f>IF(OR($A281="",$B281=""),0,IF(COUNTIFS($A$5:$A281,$A281,$B$5:$B281,$B281)=1,1,0))</f>
        <v>0</v>
      </c>
      <c r="O281" s="79" t="str">
        <f t="shared" si="39"/>
        <v/>
      </c>
      <c r="P281" s="79" t="str">
        <f t="shared" si="40"/>
        <v/>
      </c>
      <c r="AL281" s="89" t="str">
        <f t="shared" ca="1" si="41"/>
        <v/>
      </c>
    </row>
    <row r="282" spans="1:38" x14ac:dyDescent="0.3">
      <c r="A282" s="70"/>
      <c r="B282" s="71"/>
      <c r="C282" s="71"/>
      <c r="D282" s="71"/>
      <c r="E282" s="72"/>
      <c r="F282" s="73"/>
      <c r="G282" s="74"/>
      <c r="H282" s="75" t="str">
        <f t="shared" si="34"/>
        <v/>
      </c>
      <c r="I282" s="16" t="str">
        <f t="shared" si="35"/>
        <v/>
      </c>
      <c r="J282" s="76" t="str">
        <f t="shared" si="36"/>
        <v/>
      </c>
      <c r="K282" s="77" t="str">
        <f t="shared" si="37"/>
        <v/>
      </c>
      <c r="L282" s="78" t="str">
        <f t="shared" si="38"/>
        <v/>
      </c>
      <c r="M282" s="4"/>
      <c r="N282" s="79">
        <f>IF(OR($A282="",$B282=""),0,IF(COUNTIFS($A$5:$A282,$A282,$B$5:$B282,$B282)=1,1,0))</f>
        <v>0</v>
      </c>
      <c r="O282" s="79" t="str">
        <f t="shared" si="39"/>
        <v/>
      </c>
      <c r="P282" s="79" t="str">
        <f t="shared" si="40"/>
        <v/>
      </c>
      <c r="AL282" s="89" t="str">
        <f t="shared" ca="1" si="41"/>
        <v/>
      </c>
    </row>
    <row r="283" spans="1:38" x14ac:dyDescent="0.3">
      <c r="A283" s="70"/>
      <c r="B283" s="71"/>
      <c r="C283" s="71"/>
      <c r="D283" s="71"/>
      <c r="E283" s="72"/>
      <c r="F283" s="73"/>
      <c r="G283" s="74"/>
      <c r="H283" s="75" t="str">
        <f t="shared" si="34"/>
        <v/>
      </c>
      <c r="I283" s="16" t="str">
        <f t="shared" si="35"/>
        <v/>
      </c>
      <c r="J283" s="76" t="str">
        <f t="shared" si="36"/>
        <v/>
      </c>
      <c r="K283" s="77" t="str">
        <f t="shared" si="37"/>
        <v/>
      </c>
      <c r="L283" s="78" t="str">
        <f t="shared" si="38"/>
        <v/>
      </c>
      <c r="M283" s="4"/>
      <c r="N283" s="79">
        <f>IF(OR($A283="",$B283=""),0,IF(COUNTIFS($A$5:$A283,$A283,$B$5:$B283,$B283)=1,1,0))</f>
        <v>0</v>
      </c>
      <c r="O283" s="79" t="str">
        <f t="shared" si="39"/>
        <v/>
      </c>
      <c r="P283" s="79" t="str">
        <f t="shared" si="40"/>
        <v/>
      </c>
      <c r="AL283" s="89" t="str">
        <f t="shared" ca="1" si="41"/>
        <v/>
      </c>
    </row>
    <row r="284" spans="1:38" x14ac:dyDescent="0.3">
      <c r="A284" s="70"/>
      <c r="B284" s="71"/>
      <c r="C284" s="71"/>
      <c r="D284" s="71"/>
      <c r="E284" s="72"/>
      <c r="F284" s="73"/>
      <c r="G284" s="74"/>
      <c r="H284" s="75" t="str">
        <f t="shared" si="34"/>
        <v/>
      </c>
      <c r="I284" s="16" t="str">
        <f t="shared" si="35"/>
        <v/>
      </c>
      <c r="J284" s="76" t="str">
        <f t="shared" si="36"/>
        <v/>
      </c>
      <c r="K284" s="77" t="str">
        <f t="shared" si="37"/>
        <v/>
      </c>
      <c r="L284" s="78" t="str">
        <f t="shared" si="38"/>
        <v/>
      </c>
      <c r="M284" s="4"/>
      <c r="N284" s="79">
        <f>IF(OR($A284="",$B284=""),0,IF(COUNTIFS($A$5:$A284,$A284,$B$5:$B284,$B284)=1,1,0))</f>
        <v>0</v>
      </c>
      <c r="O284" s="79" t="str">
        <f t="shared" si="39"/>
        <v/>
      </c>
      <c r="P284" s="79" t="str">
        <f t="shared" si="40"/>
        <v/>
      </c>
      <c r="AL284" s="89" t="str">
        <f t="shared" ca="1" si="41"/>
        <v/>
      </c>
    </row>
    <row r="285" spans="1:38" x14ac:dyDescent="0.3">
      <c r="A285" s="70"/>
      <c r="B285" s="71"/>
      <c r="C285" s="71"/>
      <c r="D285" s="71"/>
      <c r="E285" s="72"/>
      <c r="F285" s="73"/>
      <c r="G285" s="74"/>
      <c r="H285" s="75" t="str">
        <f t="shared" si="34"/>
        <v/>
      </c>
      <c r="I285" s="16" t="str">
        <f t="shared" si="35"/>
        <v/>
      </c>
      <c r="J285" s="76" t="str">
        <f t="shared" si="36"/>
        <v/>
      </c>
      <c r="K285" s="77" t="str">
        <f t="shared" si="37"/>
        <v/>
      </c>
      <c r="L285" s="78" t="str">
        <f t="shared" si="38"/>
        <v/>
      </c>
      <c r="M285" s="4"/>
      <c r="N285" s="79">
        <f>IF(OR($A285="",$B285=""),0,IF(COUNTIFS($A$5:$A285,$A285,$B$5:$B285,$B285)=1,1,0))</f>
        <v>0</v>
      </c>
      <c r="O285" s="79" t="str">
        <f t="shared" si="39"/>
        <v/>
      </c>
      <c r="P285" s="79" t="str">
        <f t="shared" si="40"/>
        <v/>
      </c>
      <c r="AL285" s="89" t="str">
        <f t="shared" ca="1" si="41"/>
        <v/>
      </c>
    </row>
    <row r="286" spans="1:38" x14ac:dyDescent="0.3">
      <c r="A286" s="70"/>
      <c r="B286" s="71"/>
      <c r="C286" s="71"/>
      <c r="D286" s="71"/>
      <c r="E286" s="72"/>
      <c r="F286" s="73"/>
      <c r="G286" s="74"/>
      <c r="H286" s="75" t="str">
        <f t="shared" si="34"/>
        <v/>
      </c>
      <c r="I286" s="16" t="str">
        <f t="shared" si="35"/>
        <v/>
      </c>
      <c r="J286" s="76" t="str">
        <f t="shared" si="36"/>
        <v/>
      </c>
      <c r="K286" s="77" t="str">
        <f t="shared" si="37"/>
        <v/>
      </c>
      <c r="L286" s="78" t="str">
        <f t="shared" si="38"/>
        <v/>
      </c>
      <c r="M286" s="4"/>
      <c r="N286" s="79">
        <f>IF(OR($A286="",$B286=""),0,IF(COUNTIFS($A$5:$A286,$A286,$B$5:$B286,$B286)=1,1,0))</f>
        <v>0</v>
      </c>
      <c r="O286" s="79" t="str">
        <f t="shared" si="39"/>
        <v/>
      </c>
      <c r="P286" s="79" t="str">
        <f t="shared" si="40"/>
        <v/>
      </c>
      <c r="AL286" s="89" t="str">
        <f t="shared" ca="1" si="41"/>
        <v/>
      </c>
    </row>
    <row r="287" spans="1:38" x14ac:dyDescent="0.3">
      <c r="A287" s="70"/>
      <c r="B287" s="71"/>
      <c r="C287" s="71"/>
      <c r="D287" s="71"/>
      <c r="E287" s="72"/>
      <c r="F287" s="73"/>
      <c r="G287" s="74"/>
      <c r="H287" s="75" t="str">
        <f t="shared" si="34"/>
        <v/>
      </c>
      <c r="I287" s="16" t="str">
        <f t="shared" si="35"/>
        <v/>
      </c>
      <c r="J287" s="76" t="str">
        <f t="shared" si="36"/>
        <v/>
      </c>
      <c r="K287" s="77" t="str">
        <f t="shared" si="37"/>
        <v/>
      </c>
      <c r="L287" s="78" t="str">
        <f t="shared" si="38"/>
        <v/>
      </c>
      <c r="M287" s="4"/>
      <c r="N287" s="79">
        <f>IF(OR($A287="",$B287=""),0,IF(COUNTIFS($A$5:$A287,$A287,$B$5:$B287,$B287)=1,1,0))</f>
        <v>0</v>
      </c>
      <c r="O287" s="79" t="str">
        <f t="shared" si="39"/>
        <v/>
      </c>
      <c r="P287" s="79" t="str">
        <f t="shared" si="40"/>
        <v/>
      </c>
      <c r="AL287" s="89" t="str">
        <f t="shared" ca="1" si="41"/>
        <v/>
      </c>
    </row>
    <row r="288" spans="1:38" x14ac:dyDescent="0.3">
      <c r="A288" s="70"/>
      <c r="B288" s="71"/>
      <c r="C288" s="71"/>
      <c r="D288" s="71"/>
      <c r="E288" s="72"/>
      <c r="F288" s="73"/>
      <c r="G288" s="74"/>
      <c r="H288" s="75" t="str">
        <f t="shared" si="34"/>
        <v/>
      </c>
      <c r="I288" s="16" t="str">
        <f t="shared" si="35"/>
        <v/>
      </c>
      <c r="J288" s="76" t="str">
        <f t="shared" si="36"/>
        <v/>
      </c>
      <c r="K288" s="77" t="str">
        <f t="shared" si="37"/>
        <v/>
      </c>
      <c r="L288" s="78" t="str">
        <f t="shared" si="38"/>
        <v/>
      </c>
      <c r="M288" s="4"/>
      <c r="N288" s="79">
        <f>IF(OR($A288="",$B288=""),0,IF(COUNTIFS($A$5:$A288,$A288,$B$5:$B288,$B288)=1,1,0))</f>
        <v>0</v>
      </c>
      <c r="O288" s="79" t="str">
        <f t="shared" si="39"/>
        <v/>
      </c>
      <c r="P288" s="79" t="str">
        <f t="shared" si="40"/>
        <v/>
      </c>
      <c r="AL288" s="89" t="str">
        <f t="shared" ca="1" si="41"/>
        <v/>
      </c>
    </row>
    <row r="289" spans="1:38" x14ac:dyDescent="0.3">
      <c r="A289" s="70"/>
      <c r="B289" s="71"/>
      <c r="C289" s="71"/>
      <c r="D289" s="71"/>
      <c r="E289" s="72"/>
      <c r="F289" s="73"/>
      <c r="G289" s="74"/>
      <c r="H289" s="75" t="str">
        <f t="shared" si="34"/>
        <v/>
      </c>
      <c r="I289" s="16" t="str">
        <f t="shared" si="35"/>
        <v/>
      </c>
      <c r="J289" s="76" t="str">
        <f t="shared" si="36"/>
        <v/>
      </c>
      <c r="K289" s="77" t="str">
        <f t="shared" si="37"/>
        <v/>
      </c>
      <c r="L289" s="78" t="str">
        <f t="shared" si="38"/>
        <v/>
      </c>
      <c r="M289" s="4"/>
      <c r="N289" s="79">
        <f>IF(OR($A289="",$B289=""),0,IF(COUNTIFS($A$5:$A289,$A289,$B$5:$B289,$B289)=1,1,0))</f>
        <v>0</v>
      </c>
      <c r="O289" s="79" t="str">
        <f t="shared" si="39"/>
        <v/>
      </c>
      <c r="P289" s="79" t="str">
        <f t="shared" si="40"/>
        <v/>
      </c>
      <c r="AL289" s="89" t="str">
        <f t="shared" ca="1" si="41"/>
        <v/>
      </c>
    </row>
    <row r="290" spans="1:38" x14ac:dyDescent="0.3">
      <c r="A290" s="70"/>
      <c r="B290" s="71"/>
      <c r="C290" s="71"/>
      <c r="D290" s="71"/>
      <c r="E290" s="72"/>
      <c r="F290" s="73"/>
      <c r="G290" s="74"/>
      <c r="H290" s="75" t="str">
        <f t="shared" si="34"/>
        <v/>
      </c>
      <c r="I290" s="16" t="str">
        <f t="shared" si="35"/>
        <v/>
      </c>
      <c r="J290" s="76" t="str">
        <f t="shared" si="36"/>
        <v/>
      </c>
      <c r="K290" s="77" t="str">
        <f t="shared" si="37"/>
        <v/>
      </c>
      <c r="L290" s="78" t="str">
        <f t="shared" si="38"/>
        <v/>
      </c>
      <c r="M290" s="4"/>
      <c r="N290" s="79">
        <f>IF(OR($A290="",$B290=""),0,IF(COUNTIFS($A$5:$A290,$A290,$B$5:$B290,$B290)=1,1,0))</f>
        <v>0</v>
      </c>
      <c r="O290" s="79" t="str">
        <f t="shared" si="39"/>
        <v/>
      </c>
      <c r="P290" s="79" t="str">
        <f t="shared" si="40"/>
        <v/>
      </c>
      <c r="AL290" s="89" t="str">
        <f t="shared" ca="1" si="41"/>
        <v/>
      </c>
    </row>
    <row r="291" spans="1:38" x14ac:dyDescent="0.3">
      <c r="A291" s="70"/>
      <c r="B291" s="71"/>
      <c r="C291" s="71"/>
      <c r="D291" s="71"/>
      <c r="E291" s="72"/>
      <c r="F291" s="73"/>
      <c r="G291" s="74"/>
      <c r="H291" s="75" t="str">
        <f t="shared" si="34"/>
        <v/>
      </c>
      <c r="I291" s="16" t="str">
        <f t="shared" si="35"/>
        <v/>
      </c>
      <c r="J291" s="76" t="str">
        <f t="shared" si="36"/>
        <v/>
      </c>
      <c r="K291" s="77" t="str">
        <f t="shared" si="37"/>
        <v/>
      </c>
      <c r="L291" s="78" t="str">
        <f t="shared" si="38"/>
        <v/>
      </c>
      <c r="M291" s="4"/>
      <c r="N291" s="79">
        <f>IF(OR($A291="",$B291=""),0,IF(COUNTIFS($A$5:$A291,$A291,$B$5:$B291,$B291)=1,1,0))</f>
        <v>0</v>
      </c>
      <c r="O291" s="79" t="str">
        <f t="shared" si="39"/>
        <v/>
      </c>
      <c r="P291" s="79" t="str">
        <f t="shared" si="40"/>
        <v/>
      </c>
      <c r="AL291" s="89" t="str">
        <f t="shared" ca="1" si="41"/>
        <v/>
      </c>
    </row>
    <row r="292" spans="1:38" x14ac:dyDescent="0.3">
      <c r="A292" s="70"/>
      <c r="B292" s="71"/>
      <c r="C292" s="71"/>
      <c r="D292" s="71"/>
      <c r="E292" s="72"/>
      <c r="F292" s="73"/>
      <c r="G292" s="74"/>
      <c r="H292" s="75" t="str">
        <f t="shared" si="34"/>
        <v/>
      </c>
      <c r="I292" s="16" t="str">
        <f t="shared" si="35"/>
        <v/>
      </c>
      <c r="J292" s="76" t="str">
        <f t="shared" si="36"/>
        <v/>
      </c>
      <c r="K292" s="77" t="str">
        <f t="shared" si="37"/>
        <v/>
      </c>
      <c r="L292" s="78" t="str">
        <f t="shared" si="38"/>
        <v/>
      </c>
      <c r="M292" s="4"/>
      <c r="N292" s="79">
        <f>IF(OR($A292="",$B292=""),0,IF(COUNTIFS($A$5:$A292,$A292,$B$5:$B292,$B292)=1,1,0))</f>
        <v>0</v>
      </c>
      <c r="O292" s="79" t="str">
        <f t="shared" si="39"/>
        <v/>
      </c>
      <c r="P292" s="79" t="str">
        <f t="shared" si="40"/>
        <v/>
      </c>
      <c r="AL292" s="89" t="str">
        <f t="shared" ca="1" si="41"/>
        <v/>
      </c>
    </row>
    <row r="293" spans="1:38" x14ac:dyDescent="0.3">
      <c r="A293" s="70"/>
      <c r="B293" s="71"/>
      <c r="C293" s="71"/>
      <c r="D293" s="71"/>
      <c r="E293" s="72"/>
      <c r="F293" s="73"/>
      <c r="G293" s="74"/>
      <c r="H293" s="75" t="str">
        <f t="shared" si="34"/>
        <v/>
      </c>
      <c r="I293" s="16" t="str">
        <f t="shared" si="35"/>
        <v/>
      </c>
      <c r="J293" s="76" t="str">
        <f t="shared" si="36"/>
        <v/>
      </c>
      <c r="K293" s="77" t="str">
        <f t="shared" si="37"/>
        <v/>
      </c>
      <c r="L293" s="78" t="str">
        <f t="shared" si="38"/>
        <v/>
      </c>
      <c r="M293" s="4"/>
      <c r="N293" s="79">
        <f>IF(OR($A293="",$B293=""),0,IF(COUNTIFS($A$5:$A293,$A293,$B$5:$B293,$B293)=1,1,0))</f>
        <v>0</v>
      </c>
      <c r="O293" s="79" t="str">
        <f t="shared" si="39"/>
        <v/>
      </c>
      <c r="P293" s="79" t="str">
        <f t="shared" si="40"/>
        <v/>
      </c>
      <c r="AL293" s="89" t="str">
        <f t="shared" ca="1" si="41"/>
        <v/>
      </c>
    </row>
    <row r="294" spans="1:38" x14ac:dyDescent="0.3">
      <c r="A294" s="70"/>
      <c r="B294" s="71"/>
      <c r="C294" s="71"/>
      <c r="D294" s="71"/>
      <c r="E294" s="72"/>
      <c r="F294" s="73"/>
      <c r="G294" s="74"/>
      <c r="H294" s="75" t="str">
        <f t="shared" si="34"/>
        <v/>
      </c>
      <c r="I294" s="16" t="str">
        <f t="shared" si="35"/>
        <v/>
      </c>
      <c r="J294" s="76" t="str">
        <f t="shared" si="36"/>
        <v/>
      </c>
      <c r="K294" s="77" t="str">
        <f t="shared" si="37"/>
        <v/>
      </c>
      <c r="L294" s="78" t="str">
        <f t="shared" si="38"/>
        <v/>
      </c>
      <c r="M294" s="4"/>
      <c r="N294" s="79">
        <f>IF(OR($A294="",$B294=""),0,IF(COUNTIFS($A$5:$A294,$A294,$B$5:$B294,$B294)=1,1,0))</f>
        <v>0</v>
      </c>
      <c r="O294" s="79" t="str">
        <f t="shared" si="39"/>
        <v/>
      </c>
      <c r="P294" s="79" t="str">
        <f t="shared" si="40"/>
        <v/>
      </c>
      <c r="AL294" s="89" t="str">
        <f t="shared" ca="1" si="41"/>
        <v/>
      </c>
    </row>
    <row r="295" spans="1:38" x14ac:dyDescent="0.3">
      <c r="A295" s="70"/>
      <c r="B295" s="71"/>
      <c r="C295" s="71"/>
      <c r="D295" s="71"/>
      <c r="E295" s="72"/>
      <c r="F295" s="73"/>
      <c r="G295" s="74"/>
      <c r="H295" s="75" t="str">
        <f t="shared" si="34"/>
        <v/>
      </c>
      <c r="I295" s="16" t="str">
        <f t="shared" si="35"/>
        <v/>
      </c>
      <c r="J295" s="76" t="str">
        <f t="shared" si="36"/>
        <v/>
      </c>
      <c r="K295" s="77" t="str">
        <f t="shared" si="37"/>
        <v/>
      </c>
      <c r="L295" s="78" t="str">
        <f t="shared" si="38"/>
        <v/>
      </c>
      <c r="M295" s="4"/>
      <c r="N295" s="79">
        <f>IF(OR($A295="",$B295=""),0,IF(COUNTIFS($A$5:$A295,$A295,$B$5:$B295,$B295)=1,1,0))</f>
        <v>0</v>
      </c>
      <c r="O295" s="79" t="str">
        <f t="shared" si="39"/>
        <v/>
      </c>
      <c r="P295" s="79" t="str">
        <f t="shared" si="40"/>
        <v/>
      </c>
      <c r="AL295" s="89" t="str">
        <f t="shared" ca="1" si="41"/>
        <v/>
      </c>
    </row>
    <row r="296" spans="1:38" x14ac:dyDescent="0.3">
      <c r="A296" s="70"/>
      <c r="B296" s="71"/>
      <c r="C296" s="71"/>
      <c r="D296" s="71"/>
      <c r="E296" s="72"/>
      <c r="F296" s="73"/>
      <c r="G296" s="74"/>
      <c r="H296" s="75" t="str">
        <f t="shared" si="34"/>
        <v/>
      </c>
      <c r="I296" s="16" t="str">
        <f t="shared" si="35"/>
        <v/>
      </c>
      <c r="J296" s="76" t="str">
        <f t="shared" si="36"/>
        <v/>
      </c>
      <c r="K296" s="77" t="str">
        <f t="shared" si="37"/>
        <v/>
      </c>
      <c r="L296" s="78" t="str">
        <f t="shared" si="38"/>
        <v/>
      </c>
      <c r="M296" s="4"/>
      <c r="N296" s="79">
        <f>IF(OR($A296="",$B296=""),0,IF(COUNTIFS($A$5:$A296,$A296,$B$5:$B296,$B296)=1,1,0))</f>
        <v>0</v>
      </c>
      <c r="O296" s="79" t="str">
        <f t="shared" si="39"/>
        <v/>
      </c>
      <c r="P296" s="79" t="str">
        <f t="shared" si="40"/>
        <v/>
      </c>
      <c r="AL296" s="89" t="str">
        <f t="shared" ca="1" si="41"/>
        <v/>
      </c>
    </row>
    <row r="297" spans="1:38" x14ac:dyDescent="0.3">
      <c r="A297" s="70"/>
      <c r="B297" s="71"/>
      <c r="C297" s="71"/>
      <c r="D297" s="71"/>
      <c r="E297" s="72"/>
      <c r="F297" s="73"/>
      <c r="G297" s="74"/>
      <c r="H297" s="75" t="str">
        <f t="shared" si="34"/>
        <v/>
      </c>
      <c r="I297" s="16" t="str">
        <f t="shared" si="35"/>
        <v/>
      </c>
      <c r="J297" s="76" t="str">
        <f t="shared" si="36"/>
        <v/>
      </c>
      <c r="K297" s="77" t="str">
        <f t="shared" si="37"/>
        <v/>
      </c>
      <c r="L297" s="78" t="str">
        <f t="shared" si="38"/>
        <v/>
      </c>
      <c r="M297" s="4"/>
      <c r="N297" s="79">
        <f>IF(OR($A297="",$B297=""),0,IF(COUNTIFS($A$5:$A297,$A297,$B$5:$B297,$B297)=1,1,0))</f>
        <v>0</v>
      </c>
      <c r="O297" s="79" t="str">
        <f t="shared" si="39"/>
        <v/>
      </c>
      <c r="P297" s="79" t="str">
        <f t="shared" si="40"/>
        <v/>
      </c>
      <c r="AL297" s="89" t="str">
        <f t="shared" ca="1" si="41"/>
        <v/>
      </c>
    </row>
    <row r="298" spans="1:38" x14ac:dyDescent="0.3">
      <c r="A298" s="70"/>
      <c r="B298" s="71"/>
      <c r="C298" s="71"/>
      <c r="D298" s="71"/>
      <c r="E298" s="72"/>
      <c r="F298" s="73"/>
      <c r="G298" s="74"/>
      <c r="H298" s="75" t="str">
        <f t="shared" si="34"/>
        <v/>
      </c>
      <c r="I298" s="16" t="str">
        <f t="shared" si="35"/>
        <v/>
      </c>
      <c r="J298" s="76" t="str">
        <f t="shared" si="36"/>
        <v/>
      </c>
      <c r="K298" s="77" t="str">
        <f t="shared" si="37"/>
        <v/>
      </c>
      <c r="L298" s="78" t="str">
        <f t="shared" si="38"/>
        <v/>
      </c>
      <c r="M298" s="4"/>
      <c r="N298" s="79">
        <f>IF(OR($A298="",$B298=""),0,IF(COUNTIFS($A$5:$A298,$A298,$B$5:$B298,$B298)=1,1,0))</f>
        <v>0</v>
      </c>
      <c r="O298" s="79" t="str">
        <f t="shared" si="39"/>
        <v/>
      </c>
      <c r="P298" s="79" t="str">
        <f t="shared" si="40"/>
        <v/>
      </c>
      <c r="AL298" s="89" t="str">
        <f t="shared" ca="1" si="41"/>
        <v/>
      </c>
    </row>
    <row r="299" spans="1:38" x14ac:dyDescent="0.3">
      <c r="A299" s="70"/>
      <c r="B299" s="71"/>
      <c r="C299" s="71"/>
      <c r="D299" s="71"/>
      <c r="E299" s="72"/>
      <c r="F299" s="73"/>
      <c r="G299" s="74"/>
      <c r="H299" s="75" t="str">
        <f t="shared" si="34"/>
        <v/>
      </c>
      <c r="I299" s="16" t="str">
        <f t="shared" si="35"/>
        <v/>
      </c>
      <c r="J299" s="76" t="str">
        <f t="shared" si="36"/>
        <v/>
      </c>
      <c r="K299" s="77" t="str">
        <f t="shared" si="37"/>
        <v/>
      </c>
      <c r="L299" s="78" t="str">
        <f t="shared" si="38"/>
        <v/>
      </c>
      <c r="M299" s="4"/>
      <c r="N299" s="79">
        <f>IF(OR($A299="",$B299=""),0,IF(COUNTIFS($A$5:$A299,$A299,$B$5:$B299,$B299)=1,1,0))</f>
        <v>0</v>
      </c>
      <c r="O299" s="79" t="str">
        <f t="shared" si="39"/>
        <v/>
      </c>
      <c r="P299" s="79" t="str">
        <f t="shared" si="40"/>
        <v/>
      </c>
      <c r="AL299" s="89" t="str">
        <f t="shared" ca="1" si="41"/>
        <v/>
      </c>
    </row>
    <row r="300" spans="1:38" x14ac:dyDescent="0.3">
      <c r="A300" s="70"/>
      <c r="B300" s="71"/>
      <c r="C300" s="71"/>
      <c r="D300" s="71"/>
      <c r="E300" s="72"/>
      <c r="F300" s="73"/>
      <c r="G300" s="74"/>
      <c r="H300" s="75" t="str">
        <f t="shared" si="34"/>
        <v/>
      </c>
      <c r="I300" s="16" t="str">
        <f t="shared" si="35"/>
        <v/>
      </c>
      <c r="J300" s="76" t="str">
        <f t="shared" si="36"/>
        <v/>
      </c>
      <c r="K300" s="77" t="str">
        <f t="shared" si="37"/>
        <v/>
      </c>
      <c r="L300" s="78" t="str">
        <f t="shared" si="38"/>
        <v/>
      </c>
      <c r="M300" s="4"/>
      <c r="N300" s="79">
        <f>IF(OR($A300="",$B300=""),0,IF(COUNTIFS($A$5:$A300,$A300,$B$5:$B300,$B300)=1,1,0))</f>
        <v>0</v>
      </c>
      <c r="O300" s="79" t="str">
        <f t="shared" si="39"/>
        <v/>
      </c>
      <c r="P300" s="79" t="str">
        <f t="shared" si="40"/>
        <v/>
      </c>
      <c r="AL300" s="89" t="str">
        <f t="shared" ca="1" si="41"/>
        <v/>
      </c>
    </row>
    <row r="301" spans="1:38" x14ac:dyDescent="0.3">
      <c r="A301" s="70"/>
      <c r="B301" s="71"/>
      <c r="C301" s="71"/>
      <c r="D301" s="71"/>
      <c r="E301" s="72"/>
      <c r="F301" s="73"/>
      <c r="G301" s="74"/>
      <c r="H301" s="75" t="str">
        <f t="shared" si="34"/>
        <v/>
      </c>
      <c r="I301" s="16" t="str">
        <f t="shared" si="35"/>
        <v/>
      </c>
      <c r="J301" s="76" t="str">
        <f t="shared" si="36"/>
        <v/>
      </c>
      <c r="K301" s="77" t="str">
        <f t="shared" si="37"/>
        <v/>
      </c>
      <c r="L301" s="78" t="str">
        <f t="shared" si="38"/>
        <v/>
      </c>
      <c r="M301" s="4"/>
      <c r="N301" s="79">
        <f>IF(OR($A301="",$B301=""),0,IF(COUNTIFS($A$5:$A301,$A301,$B$5:$B301,$B301)=1,1,0))</f>
        <v>0</v>
      </c>
      <c r="O301" s="79" t="str">
        <f t="shared" si="39"/>
        <v/>
      </c>
      <c r="P301" s="79" t="str">
        <f t="shared" si="40"/>
        <v/>
      </c>
      <c r="AL301" s="89" t="str">
        <f t="shared" ca="1" si="41"/>
        <v/>
      </c>
    </row>
    <row r="302" spans="1:38" x14ac:dyDescent="0.3">
      <c r="A302" s="70"/>
      <c r="B302" s="71"/>
      <c r="C302" s="71"/>
      <c r="D302" s="71"/>
      <c r="E302" s="72"/>
      <c r="F302" s="73"/>
      <c r="G302" s="74"/>
      <c r="H302" s="75" t="str">
        <f t="shared" si="34"/>
        <v/>
      </c>
      <c r="I302" s="16" t="str">
        <f t="shared" si="35"/>
        <v/>
      </c>
      <c r="J302" s="76" t="str">
        <f t="shared" si="36"/>
        <v/>
      </c>
      <c r="K302" s="77" t="str">
        <f t="shared" si="37"/>
        <v/>
      </c>
      <c r="L302" s="78" t="str">
        <f t="shared" si="38"/>
        <v/>
      </c>
      <c r="M302" s="4"/>
      <c r="N302" s="79">
        <f>IF(OR($A302="",$B302=""),0,IF(COUNTIFS($A$5:$A302,$A302,$B$5:$B302,$B302)=1,1,0))</f>
        <v>0</v>
      </c>
      <c r="O302" s="79" t="str">
        <f t="shared" si="39"/>
        <v/>
      </c>
      <c r="P302" s="79" t="str">
        <f t="shared" si="40"/>
        <v/>
      </c>
      <c r="AL302" s="89" t="str">
        <f t="shared" ca="1" si="41"/>
        <v/>
      </c>
    </row>
    <row r="303" spans="1:38" x14ac:dyDescent="0.3">
      <c r="A303" s="70"/>
      <c r="B303" s="71"/>
      <c r="C303" s="71"/>
      <c r="D303" s="71"/>
      <c r="E303" s="72"/>
      <c r="F303" s="73"/>
      <c r="G303" s="74"/>
      <c r="H303" s="75" t="str">
        <f t="shared" si="34"/>
        <v/>
      </c>
      <c r="I303" s="16" t="str">
        <f t="shared" si="35"/>
        <v/>
      </c>
      <c r="J303" s="76" t="str">
        <f t="shared" si="36"/>
        <v/>
      </c>
      <c r="K303" s="77" t="str">
        <f t="shared" si="37"/>
        <v/>
      </c>
      <c r="L303" s="78" t="str">
        <f t="shared" si="38"/>
        <v/>
      </c>
      <c r="M303" s="4"/>
      <c r="N303" s="79">
        <f>IF(OR($A303="",$B303=""),0,IF(COUNTIFS($A$5:$A303,$A303,$B$5:$B303,$B303)=1,1,0))</f>
        <v>0</v>
      </c>
      <c r="O303" s="79" t="str">
        <f t="shared" si="39"/>
        <v/>
      </c>
      <c r="P303" s="79" t="str">
        <f t="shared" si="40"/>
        <v/>
      </c>
      <c r="AL303" s="89" t="str">
        <f t="shared" ca="1" si="41"/>
        <v/>
      </c>
    </row>
    <row r="304" spans="1:38" x14ac:dyDescent="0.3">
      <c r="A304" s="70"/>
      <c r="B304" s="71"/>
      <c r="C304" s="71"/>
      <c r="D304" s="71"/>
      <c r="E304" s="72"/>
      <c r="F304" s="73"/>
      <c r="G304" s="74"/>
      <c r="H304" s="75" t="str">
        <f t="shared" si="34"/>
        <v/>
      </c>
      <c r="I304" s="16" t="str">
        <f t="shared" si="35"/>
        <v/>
      </c>
      <c r="J304" s="76" t="str">
        <f t="shared" si="36"/>
        <v/>
      </c>
      <c r="K304" s="77" t="str">
        <f t="shared" si="37"/>
        <v/>
      </c>
      <c r="L304" s="78" t="str">
        <f t="shared" si="38"/>
        <v/>
      </c>
      <c r="M304" s="4"/>
      <c r="N304" s="79">
        <f>IF(OR($A304="",$B304=""),0,IF(COUNTIFS($A$5:$A304,$A304,$B$5:$B304,$B304)=1,1,0))</f>
        <v>0</v>
      </c>
      <c r="O304" s="79" t="str">
        <f t="shared" si="39"/>
        <v/>
      </c>
      <c r="P304" s="79" t="str">
        <f t="shared" si="40"/>
        <v/>
      </c>
      <c r="AL304" s="89" t="str">
        <f t="shared" ca="1" si="41"/>
        <v/>
      </c>
    </row>
    <row r="305" spans="1:38" x14ac:dyDescent="0.3">
      <c r="A305" s="70"/>
      <c r="B305" s="71"/>
      <c r="C305" s="71"/>
      <c r="D305" s="71"/>
      <c r="E305" s="72"/>
      <c r="F305" s="73"/>
      <c r="G305" s="74"/>
      <c r="H305" s="75" t="str">
        <f t="shared" si="34"/>
        <v/>
      </c>
      <c r="I305" s="16" t="str">
        <f t="shared" si="35"/>
        <v/>
      </c>
      <c r="J305" s="76" t="str">
        <f t="shared" si="36"/>
        <v/>
      </c>
      <c r="K305" s="77" t="str">
        <f t="shared" si="37"/>
        <v/>
      </c>
      <c r="L305" s="78" t="str">
        <f t="shared" si="38"/>
        <v/>
      </c>
      <c r="M305" s="4"/>
      <c r="N305" s="79">
        <f>IF(OR($A305="",$B305=""),0,IF(COUNTIFS($A$5:$A305,$A305,$B$5:$B305,$B305)=1,1,0))</f>
        <v>0</v>
      </c>
      <c r="O305" s="79" t="str">
        <f t="shared" si="39"/>
        <v/>
      </c>
      <c r="P305" s="79" t="str">
        <f t="shared" si="40"/>
        <v/>
      </c>
      <c r="AL305" s="89" t="str">
        <f t="shared" ca="1" si="41"/>
        <v/>
      </c>
    </row>
    <row r="306" spans="1:38" x14ac:dyDescent="0.3">
      <c r="A306" s="70"/>
      <c r="B306" s="71"/>
      <c r="C306" s="71"/>
      <c r="D306" s="71"/>
      <c r="E306" s="72"/>
      <c r="F306" s="73"/>
      <c r="G306" s="74"/>
      <c r="H306" s="75" t="str">
        <f t="shared" si="34"/>
        <v/>
      </c>
      <c r="I306" s="16" t="str">
        <f t="shared" si="35"/>
        <v/>
      </c>
      <c r="J306" s="76" t="str">
        <f t="shared" si="36"/>
        <v/>
      </c>
      <c r="K306" s="77" t="str">
        <f t="shared" si="37"/>
        <v/>
      </c>
      <c r="L306" s="78" t="str">
        <f t="shared" si="38"/>
        <v/>
      </c>
      <c r="M306" s="4"/>
      <c r="N306" s="79">
        <f>IF(OR($A306="",$B306=""),0,IF(COUNTIFS($A$5:$A306,$A306,$B$5:$B306,$B306)=1,1,0))</f>
        <v>0</v>
      </c>
      <c r="O306" s="79" t="str">
        <f t="shared" si="39"/>
        <v/>
      </c>
      <c r="P306" s="79" t="str">
        <f t="shared" si="40"/>
        <v/>
      </c>
      <c r="AL306" s="89" t="str">
        <f t="shared" ca="1" si="41"/>
        <v/>
      </c>
    </row>
    <row r="307" spans="1:38" x14ac:dyDescent="0.3">
      <c r="A307" s="70"/>
      <c r="B307" s="71"/>
      <c r="C307" s="71"/>
      <c r="D307" s="71"/>
      <c r="E307" s="72"/>
      <c r="F307" s="73"/>
      <c r="G307" s="74"/>
      <c r="H307" s="75" t="str">
        <f t="shared" si="34"/>
        <v/>
      </c>
      <c r="I307" s="16" t="str">
        <f t="shared" si="35"/>
        <v/>
      </c>
      <c r="J307" s="76" t="str">
        <f t="shared" si="36"/>
        <v/>
      </c>
      <c r="K307" s="77" t="str">
        <f t="shared" si="37"/>
        <v/>
      </c>
      <c r="L307" s="78" t="str">
        <f t="shared" si="38"/>
        <v/>
      </c>
      <c r="M307" s="4"/>
      <c r="N307" s="79">
        <f>IF(OR($A307="",$B307=""),0,IF(COUNTIFS($A$5:$A307,$A307,$B$5:$B307,$B307)=1,1,0))</f>
        <v>0</v>
      </c>
      <c r="O307" s="79" t="str">
        <f t="shared" si="39"/>
        <v/>
      </c>
      <c r="P307" s="79" t="str">
        <f t="shared" si="40"/>
        <v/>
      </c>
      <c r="AL307" s="89" t="str">
        <f t="shared" ca="1" si="41"/>
        <v/>
      </c>
    </row>
    <row r="308" spans="1:38" x14ac:dyDescent="0.3">
      <c r="A308" s="70"/>
      <c r="B308" s="71"/>
      <c r="C308" s="71"/>
      <c r="D308" s="71"/>
      <c r="E308" s="72"/>
      <c r="F308" s="73"/>
      <c r="G308" s="74"/>
      <c r="H308" s="75" t="str">
        <f t="shared" si="34"/>
        <v/>
      </c>
      <c r="I308" s="16" t="str">
        <f t="shared" si="35"/>
        <v/>
      </c>
      <c r="J308" s="76" t="str">
        <f t="shared" si="36"/>
        <v/>
      </c>
      <c r="K308" s="77" t="str">
        <f t="shared" si="37"/>
        <v/>
      </c>
      <c r="L308" s="78" t="str">
        <f t="shared" si="38"/>
        <v/>
      </c>
      <c r="M308" s="4"/>
      <c r="N308" s="79">
        <f>IF(OR($A308="",$B308=""),0,IF(COUNTIFS($A$5:$A308,$A308,$B$5:$B308,$B308)=1,1,0))</f>
        <v>0</v>
      </c>
      <c r="O308" s="79" t="str">
        <f t="shared" si="39"/>
        <v/>
      </c>
      <c r="P308" s="79" t="str">
        <f t="shared" si="40"/>
        <v/>
      </c>
      <c r="AL308" s="89" t="str">
        <f t="shared" ca="1" si="41"/>
        <v/>
      </c>
    </row>
    <row r="309" spans="1:38" x14ac:dyDescent="0.3">
      <c r="A309" s="70"/>
      <c r="B309" s="71"/>
      <c r="C309" s="71"/>
      <c r="D309" s="71"/>
      <c r="E309" s="72"/>
      <c r="F309" s="73"/>
      <c r="G309" s="74"/>
      <c r="H309" s="75" t="str">
        <f t="shared" si="34"/>
        <v/>
      </c>
      <c r="I309" s="16" t="str">
        <f t="shared" si="35"/>
        <v/>
      </c>
      <c r="J309" s="76" t="str">
        <f t="shared" si="36"/>
        <v/>
      </c>
      <c r="K309" s="77" t="str">
        <f t="shared" si="37"/>
        <v/>
      </c>
      <c r="L309" s="78" t="str">
        <f t="shared" si="38"/>
        <v/>
      </c>
      <c r="M309" s="4"/>
      <c r="N309" s="79">
        <f>IF(OR($A309="",$B309=""),0,IF(COUNTIFS($A$5:$A309,$A309,$B$5:$B309,$B309)=1,1,0))</f>
        <v>0</v>
      </c>
      <c r="O309" s="79" t="str">
        <f t="shared" si="39"/>
        <v/>
      </c>
      <c r="P309" s="79" t="str">
        <f t="shared" si="40"/>
        <v/>
      </c>
      <c r="AL309" s="89" t="str">
        <f t="shared" ca="1" si="41"/>
        <v/>
      </c>
    </row>
    <row r="310" spans="1:38" x14ac:dyDescent="0.3">
      <c r="A310" s="70"/>
      <c r="B310" s="71"/>
      <c r="C310" s="71"/>
      <c r="D310" s="71"/>
      <c r="E310" s="72"/>
      <c r="F310" s="73"/>
      <c r="G310" s="74"/>
      <c r="H310" s="75" t="str">
        <f t="shared" si="34"/>
        <v/>
      </c>
      <c r="I310" s="16" t="str">
        <f t="shared" si="35"/>
        <v/>
      </c>
      <c r="J310" s="76" t="str">
        <f t="shared" si="36"/>
        <v/>
      </c>
      <c r="K310" s="77" t="str">
        <f t="shared" si="37"/>
        <v/>
      </c>
      <c r="L310" s="78" t="str">
        <f t="shared" si="38"/>
        <v/>
      </c>
      <c r="M310" s="4"/>
      <c r="N310" s="79">
        <f>IF(OR($A310="",$B310=""),0,IF(COUNTIFS($A$5:$A310,$A310,$B$5:$B310,$B310)=1,1,0))</f>
        <v>0</v>
      </c>
      <c r="O310" s="79" t="str">
        <f t="shared" si="39"/>
        <v/>
      </c>
      <c r="P310" s="79" t="str">
        <f t="shared" si="40"/>
        <v/>
      </c>
      <c r="AL310" s="89" t="str">
        <f t="shared" ca="1" si="41"/>
        <v/>
      </c>
    </row>
    <row r="311" spans="1:38" x14ac:dyDescent="0.3">
      <c r="A311" s="70"/>
      <c r="B311" s="71"/>
      <c r="C311" s="71"/>
      <c r="D311" s="71"/>
      <c r="E311" s="72"/>
      <c r="F311" s="73"/>
      <c r="G311" s="74"/>
      <c r="H311" s="75" t="str">
        <f t="shared" si="34"/>
        <v/>
      </c>
      <c r="I311" s="16" t="str">
        <f t="shared" si="35"/>
        <v/>
      </c>
      <c r="J311" s="76" t="str">
        <f t="shared" si="36"/>
        <v/>
      </c>
      <c r="K311" s="77" t="str">
        <f t="shared" si="37"/>
        <v/>
      </c>
      <c r="L311" s="78" t="str">
        <f t="shared" si="38"/>
        <v/>
      </c>
      <c r="M311" s="4"/>
      <c r="N311" s="79">
        <f>IF(OR($A311="",$B311=""),0,IF(COUNTIFS($A$5:$A311,$A311,$B$5:$B311,$B311)=1,1,0))</f>
        <v>0</v>
      </c>
      <c r="O311" s="79" t="str">
        <f t="shared" si="39"/>
        <v/>
      </c>
      <c r="P311" s="79" t="str">
        <f t="shared" si="40"/>
        <v/>
      </c>
      <c r="AL311" s="89" t="str">
        <f t="shared" ca="1" si="41"/>
        <v/>
      </c>
    </row>
    <row r="312" spans="1:38" x14ac:dyDescent="0.3">
      <c r="A312" s="70"/>
      <c r="B312" s="71"/>
      <c r="C312" s="71"/>
      <c r="D312" s="71"/>
      <c r="E312" s="72"/>
      <c r="F312" s="73"/>
      <c r="G312" s="74"/>
      <c r="H312" s="75" t="str">
        <f t="shared" si="34"/>
        <v/>
      </c>
      <c r="I312" s="16" t="str">
        <f t="shared" si="35"/>
        <v/>
      </c>
      <c r="J312" s="76" t="str">
        <f t="shared" si="36"/>
        <v/>
      </c>
      <c r="K312" s="77" t="str">
        <f t="shared" si="37"/>
        <v/>
      </c>
      <c r="L312" s="78" t="str">
        <f t="shared" si="38"/>
        <v/>
      </c>
      <c r="M312" s="4"/>
      <c r="N312" s="79">
        <f>IF(OR($A312="",$B312=""),0,IF(COUNTIFS($A$5:$A312,$A312,$B$5:$B312,$B312)=1,1,0))</f>
        <v>0</v>
      </c>
      <c r="O312" s="79" t="str">
        <f t="shared" si="39"/>
        <v/>
      </c>
      <c r="P312" s="79" t="str">
        <f t="shared" si="40"/>
        <v/>
      </c>
      <c r="AL312" s="89" t="str">
        <f t="shared" ca="1" si="41"/>
        <v/>
      </c>
    </row>
    <row r="313" spans="1:38" x14ac:dyDescent="0.3">
      <c r="A313" s="70"/>
      <c r="B313" s="71"/>
      <c r="C313" s="71"/>
      <c r="D313" s="71"/>
      <c r="E313" s="72"/>
      <c r="F313" s="73"/>
      <c r="G313" s="74"/>
      <c r="H313" s="75" t="str">
        <f t="shared" si="34"/>
        <v/>
      </c>
      <c r="I313" s="16" t="str">
        <f t="shared" si="35"/>
        <v/>
      </c>
      <c r="J313" s="76" t="str">
        <f t="shared" si="36"/>
        <v/>
      </c>
      <c r="K313" s="77" t="str">
        <f t="shared" si="37"/>
        <v/>
      </c>
      <c r="L313" s="78" t="str">
        <f t="shared" si="38"/>
        <v/>
      </c>
      <c r="M313" s="4"/>
      <c r="N313" s="79">
        <f>IF(OR($A313="",$B313=""),0,IF(COUNTIFS($A$5:$A313,$A313,$B$5:$B313,$B313)=1,1,0))</f>
        <v>0</v>
      </c>
      <c r="O313" s="79" t="str">
        <f t="shared" si="39"/>
        <v/>
      </c>
      <c r="P313" s="79" t="str">
        <f t="shared" si="40"/>
        <v/>
      </c>
      <c r="AL313" s="89" t="str">
        <f t="shared" ca="1" si="41"/>
        <v/>
      </c>
    </row>
    <row r="314" spans="1:38" x14ac:dyDescent="0.3">
      <c r="A314" s="70"/>
      <c r="B314" s="71"/>
      <c r="C314" s="71"/>
      <c r="D314" s="71"/>
      <c r="E314" s="72"/>
      <c r="F314" s="73"/>
      <c r="G314" s="74"/>
      <c r="H314" s="75" t="str">
        <f t="shared" si="34"/>
        <v/>
      </c>
      <c r="I314" s="16" t="str">
        <f t="shared" si="35"/>
        <v/>
      </c>
      <c r="J314" s="76" t="str">
        <f t="shared" si="36"/>
        <v/>
      </c>
      <c r="K314" s="77" t="str">
        <f t="shared" si="37"/>
        <v/>
      </c>
      <c r="L314" s="78" t="str">
        <f t="shared" si="38"/>
        <v/>
      </c>
      <c r="M314" s="4"/>
      <c r="N314" s="79">
        <f>IF(OR($A314="",$B314=""),0,IF(COUNTIFS($A$5:$A314,$A314,$B$5:$B314,$B314)=1,1,0))</f>
        <v>0</v>
      </c>
      <c r="O314" s="79" t="str">
        <f t="shared" si="39"/>
        <v/>
      </c>
      <c r="P314" s="79" t="str">
        <f t="shared" si="40"/>
        <v/>
      </c>
      <c r="AL314" s="89" t="str">
        <f t="shared" ca="1" si="41"/>
        <v/>
      </c>
    </row>
    <row r="315" spans="1:38" x14ac:dyDescent="0.3">
      <c r="A315" s="70"/>
      <c r="B315" s="71"/>
      <c r="C315" s="71"/>
      <c r="D315" s="71"/>
      <c r="E315" s="72"/>
      <c r="F315" s="73"/>
      <c r="G315" s="74"/>
      <c r="H315" s="75" t="str">
        <f t="shared" si="34"/>
        <v/>
      </c>
      <c r="I315" s="16" t="str">
        <f t="shared" si="35"/>
        <v/>
      </c>
      <c r="J315" s="76" t="str">
        <f t="shared" si="36"/>
        <v/>
      </c>
      <c r="K315" s="77" t="str">
        <f t="shared" si="37"/>
        <v/>
      </c>
      <c r="L315" s="78" t="str">
        <f t="shared" si="38"/>
        <v/>
      </c>
      <c r="M315" s="4"/>
      <c r="N315" s="79">
        <f>IF(OR($A315="",$B315=""),0,IF(COUNTIFS($A$5:$A315,$A315,$B$5:$B315,$B315)=1,1,0))</f>
        <v>0</v>
      </c>
      <c r="O315" s="79" t="str">
        <f t="shared" si="39"/>
        <v/>
      </c>
      <c r="P315" s="79" t="str">
        <f t="shared" si="40"/>
        <v/>
      </c>
      <c r="AL315" s="89" t="str">
        <f t="shared" ca="1" si="41"/>
        <v/>
      </c>
    </row>
    <row r="316" spans="1:38" x14ac:dyDescent="0.3">
      <c r="A316" s="70"/>
      <c r="B316" s="71"/>
      <c r="C316" s="71"/>
      <c r="D316" s="71"/>
      <c r="E316" s="72"/>
      <c r="F316" s="73"/>
      <c r="G316" s="74"/>
      <c r="H316" s="75" t="str">
        <f t="shared" si="34"/>
        <v/>
      </c>
      <c r="I316" s="16" t="str">
        <f t="shared" si="35"/>
        <v/>
      </c>
      <c r="J316" s="76" t="str">
        <f t="shared" si="36"/>
        <v/>
      </c>
      <c r="K316" s="77" t="str">
        <f t="shared" si="37"/>
        <v/>
      </c>
      <c r="L316" s="78" t="str">
        <f t="shared" si="38"/>
        <v/>
      </c>
      <c r="M316" s="4"/>
      <c r="N316" s="79">
        <f>IF(OR($A316="",$B316=""),0,IF(COUNTIFS($A$5:$A316,$A316,$B$5:$B316,$B316)=1,1,0))</f>
        <v>0</v>
      </c>
      <c r="O316" s="79" t="str">
        <f t="shared" si="39"/>
        <v/>
      </c>
      <c r="P316" s="79" t="str">
        <f t="shared" si="40"/>
        <v/>
      </c>
      <c r="AL316" s="89" t="str">
        <f t="shared" ca="1" si="41"/>
        <v/>
      </c>
    </row>
    <row r="317" spans="1:38" x14ac:dyDescent="0.3">
      <c r="A317" s="70"/>
      <c r="B317" s="71"/>
      <c r="C317" s="71"/>
      <c r="D317" s="71"/>
      <c r="E317" s="72"/>
      <c r="F317" s="73"/>
      <c r="G317" s="74"/>
      <c r="H317" s="75" t="str">
        <f t="shared" si="34"/>
        <v/>
      </c>
      <c r="I317" s="16" t="str">
        <f t="shared" si="35"/>
        <v/>
      </c>
      <c r="J317" s="76" t="str">
        <f t="shared" si="36"/>
        <v/>
      </c>
      <c r="K317" s="77" t="str">
        <f t="shared" si="37"/>
        <v/>
      </c>
      <c r="L317" s="78" t="str">
        <f t="shared" si="38"/>
        <v/>
      </c>
      <c r="M317" s="4"/>
      <c r="N317" s="79">
        <f>IF(OR($A317="",$B317=""),0,IF(COUNTIFS($A$5:$A317,$A317,$B$5:$B317,$B317)=1,1,0))</f>
        <v>0</v>
      </c>
      <c r="O317" s="79" t="str">
        <f t="shared" si="39"/>
        <v/>
      </c>
      <c r="P317" s="79" t="str">
        <f t="shared" si="40"/>
        <v/>
      </c>
      <c r="AL317" s="89" t="str">
        <f t="shared" ca="1" si="41"/>
        <v/>
      </c>
    </row>
    <row r="318" spans="1:38" x14ac:dyDescent="0.3">
      <c r="A318" s="70"/>
      <c r="B318" s="71"/>
      <c r="C318" s="71"/>
      <c r="D318" s="71"/>
      <c r="E318" s="72"/>
      <c r="F318" s="73"/>
      <c r="G318" s="74"/>
      <c r="H318" s="75" t="str">
        <f t="shared" si="34"/>
        <v/>
      </c>
      <c r="I318" s="16" t="str">
        <f t="shared" si="35"/>
        <v/>
      </c>
      <c r="J318" s="76" t="str">
        <f t="shared" si="36"/>
        <v/>
      </c>
      <c r="K318" s="77" t="str">
        <f t="shared" si="37"/>
        <v/>
      </c>
      <c r="L318" s="78" t="str">
        <f t="shared" si="38"/>
        <v/>
      </c>
      <c r="M318" s="4"/>
      <c r="N318" s="79">
        <f>IF(OR($A318="",$B318=""),0,IF(COUNTIFS($A$5:$A318,$A318,$B$5:$B318,$B318)=1,1,0))</f>
        <v>0</v>
      </c>
      <c r="O318" s="79" t="str">
        <f t="shared" si="39"/>
        <v/>
      </c>
      <c r="P318" s="79" t="str">
        <f t="shared" si="40"/>
        <v/>
      </c>
      <c r="AL318" s="89" t="str">
        <f t="shared" ca="1" si="41"/>
        <v/>
      </c>
    </row>
    <row r="319" spans="1:38" x14ac:dyDescent="0.3">
      <c r="A319" s="70"/>
      <c r="B319" s="71"/>
      <c r="C319" s="71"/>
      <c r="D319" s="71"/>
      <c r="E319" s="72"/>
      <c r="F319" s="73"/>
      <c r="G319" s="74"/>
      <c r="H319" s="75" t="str">
        <f t="shared" si="34"/>
        <v/>
      </c>
      <c r="I319" s="16" t="str">
        <f t="shared" si="35"/>
        <v/>
      </c>
      <c r="J319" s="76" t="str">
        <f t="shared" si="36"/>
        <v/>
      </c>
      <c r="K319" s="77" t="str">
        <f t="shared" si="37"/>
        <v/>
      </c>
      <c r="L319" s="78" t="str">
        <f t="shared" si="38"/>
        <v/>
      </c>
      <c r="M319" s="4"/>
      <c r="N319" s="79">
        <f>IF(OR($A319="",$B319=""),0,IF(COUNTIFS($A$5:$A319,$A319,$B$5:$B319,$B319)=1,1,0))</f>
        <v>0</v>
      </c>
      <c r="O319" s="79" t="str">
        <f t="shared" si="39"/>
        <v/>
      </c>
      <c r="P319" s="79" t="str">
        <f t="shared" si="40"/>
        <v/>
      </c>
      <c r="AL319" s="89" t="str">
        <f t="shared" ca="1" si="41"/>
        <v/>
      </c>
    </row>
    <row r="320" spans="1:38" x14ac:dyDescent="0.3">
      <c r="A320" s="70"/>
      <c r="B320" s="71"/>
      <c r="C320" s="71"/>
      <c r="D320" s="71"/>
      <c r="E320" s="72"/>
      <c r="F320" s="73"/>
      <c r="G320" s="74"/>
      <c r="H320" s="75" t="str">
        <f t="shared" si="34"/>
        <v/>
      </c>
      <c r="I320" s="16" t="str">
        <f t="shared" si="35"/>
        <v/>
      </c>
      <c r="J320" s="76" t="str">
        <f t="shared" si="36"/>
        <v/>
      </c>
      <c r="K320" s="77" t="str">
        <f t="shared" si="37"/>
        <v/>
      </c>
      <c r="L320" s="78" t="str">
        <f t="shared" si="38"/>
        <v/>
      </c>
      <c r="M320" s="4"/>
      <c r="N320" s="79">
        <f>IF(OR($A320="",$B320=""),0,IF(COUNTIFS($A$5:$A320,$A320,$B$5:$B320,$B320)=1,1,0))</f>
        <v>0</v>
      </c>
      <c r="O320" s="79" t="str">
        <f t="shared" si="39"/>
        <v/>
      </c>
      <c r="P320" s="79" t="str">
        <f t="shared" si="40"/>
        <v/>
      </c>
      <c r="AL320" s="89" t="str">
        <f t="shared" ca="1" si="41"/>
        <v/>
      </c>
    </row>
    <row r="321" spans="1:38" x14ac:dyDescent="0.3">
      <c r="A321" s="70"/>
      <c r="B321" s="71"/>
      <c r="C321" s="71"/>
      <c r="D321" s="71"/>
      <c r="E321" s="72"/>
      <c r="F321" s="73"/>
      <c r="G321" s="74"/>
      <c r="H321" s="75" t="str">
        <f t="shared" si="34"/>
        <v/>
      </c>
      <c r="I321" s="16" t="str">
        <f t="shared" si="35"/>
        <v/>
      </c>
      <c r="J321" s="76" t="str">
        <f t="shared" si="36"/>
        <v/>
      </c>
      <c r="K321" s="77" t="str">
        <f t="shared" si="37"/>
        <v/>
      </c>
      <c r="L321" s="78" t="str">
        <f t="shared" si="38"/>
        <v/>
      </c>
      <c r="M321" s="4"/>
      <c r="N321" s="79">
        <f>IF(OR($A321="",$B321=""),0,IF(COUNTIFS($A$5:$A321,$A321,$B$5:$B321,$B321)=1,1,0))</f>
        <v>0</v>
      </c>
      <c r="O321" s="79" t="str">
        <f t="shared" si="39"/>
        <v/>
      </c>
      <c r="P321" s="79" t="str">
        <f t="shared" si="40"/>
        <v/>
      </c>
      <c r="AL321" s="89" t="str">
        <f t="shared" ca="1" si="41"/>
        <v/>
      </c>
    </row>
    <row r="322" spans="1:38" x14ac:dyDescent="0.3">
      <c r="A322" s="70"/>
      <c r="B322" s="71"/>
      <c r="C322" s="71"/>
      <c r="D322" s="71"/>
      <c r="E322" s="72"/>
      <c r="F322" s="73"/>
      <c r="G322" s="74"/>
      <c r="H322" s="75" t="str">
        <f t="shared" si="34"/>
        <v/>
      </c>
      <c r="I322" s="16" t="str">
        <f t="shared" si="35"/>
        <v/>
      </c>
      <c r="J322" s="76" t="str">
        <f t="shared" si="36"/>
        <v/>
      </c>
      <c r="K322" s="77" t="str">
        <f t="shared" si="37"/>
        <v/>
      </c>
      <c r="L322" s="78" t="str">
        <f t="shared" si="38"/>
        <v/>
      </c>
      <c r="M322" s="4"/>
      <c r="N322" s="79">
        <f>IF(OR($A322="",$B322=""),0,IF(COUNTIFS($A$5:$A322,$A322,$B$5:$B322,$B322)=1,1,0))</f>
        <v>0</v>
      </c>
      <c r="O322" s="79" t="str">
        <f t="shared" si="39"/>
        <v/>
      </c>
      <c r="P322" s="79" t="str">
        <f t="shared" si="40"/>
        <v/>
      </c>
      <c r="AL322" s="89" t="str">
        <f t="shared" ca="1" si="41"/>
        <v/>
      </c>
    </row>
    <row r="323" spans="1:38" x14ac:dyDescent="0.3">
      <c r="A323" s="70"/>
      <c r="B323" s="71"/>
      <c r="C323" s="71"/>
      <c r="D323" s="71"/>
      <c r="E323" s="72"/>
      <c r="F323" s="73"/>
      <c r="G323" s="74"/>
      <c r="H323" s="75" t="str">
        <f t="shared" si="34"/>
        <v/>
      </c>
      <c r="I323" s="16" t="str">
        <f t="shared" si="35"/>
        <v/>
      </c>
      <c r="J323" s="76" t="str">
        <f t="shared" si="36"/>
        <v/>
      </c>
      <c r="K323" s="77" t="str">
        <f t="shared" si="37"/>
        <v/>
      </c>
      <c r="L323" s="78" t="str">
        <f t="shared" si="38"/>
        <v/>
      </c>
      <c r="M323" s="4"/>
      <c r="N323" s="79">
        <f>IF(OR($A323="",$B323=""),0,IF(COUNTIFS($A$5:$A323,$A323,$B$5:$B323,$B323)=1,1,0))</f>
        <v>0</v>
      </c>
      <c r="O323" s="79" t="str">
        <f t="shared" si="39"/>
        <v/>
      </c>
      <c r="P323" s="79" t="str">
        <f t="shared" si="40"/>
        <v/>
      </c>
      <c r="AL323" s="89" t="str">
        <f t="shared" ca="1" si="41"/>
        <v/>
      </c>
    </row>
    <row r="324" spans="1:38" x14ac:dyDescent="0.3">
      <c r="A324" s="70"/>
      <c r="B324" s="71"/>
      <c r="C324" s="71"/>
      <c r="D324" s="71"/>
      <c r="E324" s="72"/>
      <c r="F324" s="73"/>
      <c r="G324" s="74"/>
      <c r="H324" s="75" t="str">
        <f t="shared" si="34"/>
        <v/>
      </c>
      <c r="I324" s="16" t="str">
        <f t="shared" si="35"/>
        <v/>
      </c>
      <c r="J324" s="76" t="str">
        <f t="shared" si="36"/>
        <v/>
      </c>
      <c r="K324" s="77" t="str">
        <f t="shared" si="37"/>
        <v/>
      </c>
      <c r="L324" s="78" t="str">
        <f t="shared" si="38"/>
        <v/>
      </c>
      <c r="M324" s="4"/>
      <c r="N324" s="79">
        <f>IF(OR($A324="",$B324=""),0,IF(COUNTIFS($A$5:$A324,$A324,$B$5:$B324,$B324)=1,1,0))</f>
        <v>0</v>
      </c>
      <c r="O324" s="79" t="str">
        <f t="shared" si="39"/>
        <v/>
      </c>
      <c r="P324" s="79" t="str">
        <f t="shared" si="40"/>
        <v/>
      </c>
      <c r="AL324" s="89" t="str">
        <f t="shared" ca="1" si="41"/>
        <v/>
      </c>
    </row>
    <row r="325" spans="1:38" x14ac:dyDescent="0.3">
      <c r="A325" s="70"/>
      <c r="B325" s="71"/>
      <c r="C325" s="71"/>
      <c r="D325" s="71"/>
      <c r="E325" s="72"/>
      <c r="F325" s="73"/>
      <c r="G325" s="74"/>
      <c r="H325" s="75" t="str">
        <f t="shared" ref="H325:H388" si="42">IF(OR($A325="",$B325="",$I325=""),"",SUMPRODUCT(($A$5:$A$604=$A325)*($B$5:$B$604=$B325)*($I$5:$I$604&lt;&gt;"")*($I$5:$I$604&lt;$I325))+SUMPRODUCT(($A$5:$A$604=$A325)*($B$5:$B$604=$B325)*($I$5:$I$604=$I325)*(ROW($I$5:$I$604)&lt;=ROW($I325))))</f>
        <v/>
      </c>
      <c r="I325" s="16" t="str">
        <f t="shared" ref="I325:I388" si="43">IF(TRIM($C325&amp;$D325)="","",PROPER(TRIM($C325))&amp;" "&amp;UPPER(TRIM($D325)))</f>
        <v/>
      </c>
      <c r="J325" s="76" t="str">
        <f t="shared" ref="J325:J388" si="44">IF(OR($A325="",$B325="",$H325=""),"",$A325&amp;"|"&amp;$B325&amp;"|"&amp;$H325)</f>
        <v/>
      </c>
      <c r="K325" s="77" t="str">
        <f t="shared" ref="K325:K388" si="45">IF(COUNTA($A325:$E325)=0,"",IF($A325="","← Nurodykite lygą (A / B / C)",IF($B325="","← Nurodykite komandą",IF(TRIM($C325)="","← Nurodykite vardą",IF(TRIM($D325)="","← Nurodykite pavardę",IF(NOT(ISNUMBER($E325)),"← Nurodykite Hcp (jei neturi – 0)",IF(AND(OR($A325="B",$A325="C"),NOT(OR($F325="Rytai",$F325="Vakarai"))),"← Nurodykite pogrupį (Rytai / Vakarai)",IF(AND($A325="A",OR($F325="Rytai",$F325="Vakarai")),"← A lygos komandos į pogrupius neskirstomos",IF(COUNTIFS($A$5:$A$604,$A325,$B$5:$B$604,$B325,$F$5:$F$604,"&lt;&gt;"&amp;$F325)&gt;0,"← Šios komandos pogrupis nurodytas nevienodai",IF($H325&gt;8,"← Šioje komandoje jau daugiau nei 8 žaidėjai",""))))))))))</f>
        <v/>
      </c>
      <c r="L325" s="78" t="str">
        <f t="shared" ref="L325:L388" si="46">IF($I325="","",IF(COUNTIF($I$5:$I$604,$I325)&gt;1,"ℹ tokių pačių vardų sąraše: "&amp;COUNTIF($I$5:$I$604,$I325),IF(AND($B325&lt;&gt;"",COUNTIFS($A$5:$A$604,$A325,$B$5:$B$604,$B325)&lt;3),"ℹ šioje komandoje tik "&amp;COUNTIFS($A$5:$A$604,$A325,$B$5:$B$604,$B325)&amp;" žaid. – ar ne rašybos klaida?","")))</f>
        <v/>
      </c>
      <c r="M325" s="4"/>
      <c r="N325" s="79">
        <f>IF(OR($A325="",$B325=""),0,IF(COUNTIFS($A$5:$A325,$A325,$B$5:$B325,$B325)=1,1,0))</f>
        <v>0</v>
      </c>
      <c r="O325" s="79" t="str">
        <f t="shared" ref="O325:O388" si="47">IF($N325&lt;&gt;1,"",1+SUMPRODUCT(($A$5:$A$604=$A325)*($B$5:$B$604&lt;$B325)*($N$5:$N$604=1)))</f>
        <v/>
      </c>
      <c r="P325" s="79" t="str">
        <f t="shared" ref="P325:P388" si="48">IF(OR($N325&lt;&gt;1,$A325&lt;&gt;Lyga,AND(Pogrupis&lt;&gt;"",$F325&lt;&gt;Pogrupis)),"",1+SUMPRODUCT(($A$5:$A$604=Lyga)*($N$5:$N$604=1)*($B$5:$B$604&lt;$B325)*((($F$5:$F$604=Pogrupis)+(Pogrupis=""))&gt;0)))</f>
        <v/>
      </c>
      <c r="AL325" s="89" t="str">
        <f t="shared" ref="AL325:AL388" ca="1" si="49">IF(NOT(OR($A325="A",$A325="B",$A325="C")),"","ADMIN_Duomenys!$"&amp;IF($A325="A","W",IF($A325="B","Y","AA"))&amp;"$5:$"&amp;IF($A325="A","W",IF($A325="B","Y","AA"))&amp;"$"&amp;(4+MAX(1,COUNTIF(INDIRECT("ADMIN_Duomenys!$"&amp;IF($A325="A","W",IF($A325="B","Y","AA"))&amp;"$5:$"&amp;IF($A325="A","W",IF($A325="B","Y","AA"))&amp;"$44"),"?*"))))</f>
        <v/>
      </c>
    </row>
    <row r="326" spans="1:38" x14ac:dyDescent="0.3">
      <c r="A326" s="70"/>
      <c r="B326" s="71"/>
      <c r="C326" s="71"/>
      <c r="D326" s="71"/>
      <c r="E326" s="72"/>
      <c r="F326" s="73"/>
      <c r="G326" s="74"/>
      <c r="H326" s="75" t="str">
        <f t="shared" si="42"/>
        <v/>
      </c>
      <c r="I326" s="16" t="str">
        <f t="shared" si="43"/>
        <v/>
      </c>
      <c r="J326" s="76" t="str">
        <f t="shared" si="44"/>
        <v/>
      </c>
      <c r="K326" s="77" t="str">
        <f t="shared" si="45"/>
        <v/>
      </c>
      <c r="L326" s="78" t="str">
        <f t="shared" si="46"/>
        <v/>
      </c>
      <c r="M326" s="4"/>
      <c r="N326" s="79">
        <f>IF(OR($A326="",$B326=""),0,IF(COUNTIFS($A$5:$A326,$A326,$B$5:$B326,$B326)=1,1,0))</f>
        <v>0</v>
      </c>
      <c r="O326" s="79" t="str">
        <f t="shared" si="47"/>
        <v/>
      </c>
      <c r="P326" s="79" t="str">
        <f t="shared" si="48"/>
        <v/>
      </c>
      <c r="AL326" s="89" t="str">
        <f t="shared" ca="1" si="49"/>
        <v/>
      </c>
    </row>
    <row r="327" spans="1:38" x14ac:dyDescent="0.3">
      <c r="A327" s="70"/>
      <c r="B327" s="71"/>
      <c r="C327" s="71"/>
      <c r="D327" s="71"/>
      <c r="E327" s="72"/>
      <c r="F327" s="73"/>
      <c r="G327" s="74"/>
      <c r="H327" s="75" t="str">
        <f t="shared" si="42"/>
        <v/>
      </c>
      <c r="I327" s="16" t="str">
        <f t="shared" si="43"/>
        <v/>
      </c>
      <c r="J327" s="76" t="str">
        <f t="shared" si="44"/>
        <v/>
      </c>
      <c r="K327" s="77" t="str">
        <f t="shared" si="45"/>
        <v/>
      </c>
      <c r="L327" s="78" t="str">
        <f t="shared" si="46"/>
        <v/>
      </c>
      <c r="M327" s="4"/>
      <c r="N327" s="79">
        <f>IF(OR($A327="",$B327=""),0,IF(COUNTIFS($A$5:$A327,$A327,$B$5:$B327,$B327)=1,1,0))</f>
        <v>0</v>
      </c>
      <c r="O327" s="79" t="str">
        <f t="shared" si="47"/>
        <v/>
      </c>
      <c r="P327" s="79" t="str">
        <f t="shared" si="48"/>
        <v/>
      </c>
      <c r="AL327" s="89" t="str">
        <f t="shared" ca="1" si="49"/>
        <v/>
      </c>
    </row>
    <row r="328" spans="1:38" x14ac:dyDescent="0.3">
      <c r="A328" s="70"/>
      <c r="B328" s="71"/>
      <c r="C328" s="71"/>
      <c r="D328" s="71"/>
      <c r="E328" s="72"/>
      <c r="F328" s="73"/>
      <c r="G328" s="74"/>
      <c r="H328" s="75" t="str">
        <f t="shared" si="42"/>
        <v/>
      </c>
      <c r="I328" s="16" t="str">
        <f t="shared" si="43"/>
        <v/>
      </c>
      <c r="J328" s="76" t="str">
        <f t="shared" si="44"/>
        <v/>
      </c>
      <c r="K328" s="77" t="str">
        <f t="shared" si="45"/>
        <v/>
      </c>
      <c r="L328" s="78" t="str">
        <f t="shared" si="46"/>
        <v/>
      </c>
      <c r="M328" s="4"/>
      <c r="N328" s="79">
        <f>IF(OR($A328="",$B328=""),0,IF(COUNTIFS($A$5:$A328,$A328,$B$5:$B328,$B328)=1,1,0))</f>
        <v>0</v>
      </c>
      <c r="O328" s="79" t="str">
        <f t="shared" si="47"/>
        <v/>
      </c>
      <c r="P328" s="79" t="str">
        <f t="shared" si="48"/>
        <v/>
      </c>
      <c r="AL328" s="89" t="str">
        <f t="shared" ca="1" si="49"/>
        <v/>
      </c>
    </row>
    <row r="329" spans="1:38" x14ac:dyDescent="0.3">
      <c r="A329" s="70"/>
      <c r="B329" s="71"/>
      <c r="C329" s="71"/>
      <c r="D329" s="71"/>
      <c r="E329" s="72"/>
      <c r="F329" s="73"/>
      <c r="G329" s="74"/>
      <c r="H329" s="75" t="str">
        <f t="shared" si="42"/>
        <v/>
      </c>
      <c r="I329" s="16" t="str">
        <f t="shared" si="43"/>
        <v/>
      </c>
      <c r="J329" s="76" t="str">
        <f t="shared" si="44"/>
        <v/>
      </c>
      <c r="K329" s="77" t="str">
        <f t="shared" si="45"/>
        <v/>
      </c>
      <c r="L329" s="78" t="str">
        <f t="shared" si="46"/>
        <v/>
      </c>
      <c r="M329" s="4"/>
      <c r="N329" s="79">
        <f>IF(OR($A329="",$B329=""),0,IF(COUNTIFS($A$5:$A329,$A329,$B$5:$B329,$B329)=1,1,0))</f>
        <v>0</v>
      </c>
      <c r="O329" s="79" t="str">
        <f t="shared" si="47"/>
        <v/>
      </c>
      <c r="P329" s="79" t="str">
        <f t="shared" si="48"/>
        <v/>
      </c>
      <c r="AL329" s="89" t="str">
        <f t="shared" ca="1" si="49"/>
        <v/>
      </c>
    </row>
    <row r="330" spans="1:38" x14ac:dyDescent="0.3">
      <c r="A330" s="70"/>
      <c r="B330" s="71"/>
      <c r="C330" s="71"/>
      <c r="D330" s="71"/>
      <c r="E330" s="72"/>
      <c r="F330" s="73"/>
      <c r="G330" s="74"/>
      <c r="H330" s="75" t="str">
        <f t="shared" si="42"/>
        <v/>
      </c>
      <c r="I330" s="16" t="str">
        <f t="shared" si="43"/>
        <v/>
      </c>
      <c r="J330" s="76" t="str">
        <f t="shared" si="44"/>
        <v/>
      </c>
      <c r="K330" s="77" t="str">
        <f t="shared" si="45"/>
        <v/>
      </c>
      <c r="L330" s="78" t="str">
        <f t="shared" si="46"/>
        <v/>
      </c>
      <c r="M330" s="4"/>
      <c r="N330" s="79">
        <f>IF(OR($A330="",$B330=""),0,IF(COUNTIFS($A$5:$A330,$A330,$B$5:$B330,$B330)=1,1,0))</f>
        <v>0</v>
      </c>
      <c r="O330" s="79" t="str">
        <f t="shared" si="47"/>
        <v/>
      </c>
      <c r="P330" s="79" t="str">
        <f t="shared" si="48"/>
        <v/>
      </c>
      <c r="AL330" s="89" t="str">
        <f t="shared" ca="1" si="49"/>
        <v/>
      </c>
    </row>
    <row r="331" spans="1:38" x14ac:dyDescent="0.3">
      <c r="A331" s="70"/>
      <c r="B331" s="71"/>
      <c r="C331" s="71"/>
      <c r="D331" s="71"/>
      <c r="E331" s="72"/>
      <c r="F331" s="73"/>
      <c r="G331" s="74"/>
      <c r="H331" s="75" t="str">
        <f t="shared" si="42"/>
        <v/>
      </c>
      <c r="I331" s="16" t="str">
        <f t="shared" si="43"/>
        <v/>
      </c>
      <c r="J331" s="76" t="str">
        <f t="shared" si="44"/>
        <v/>
      </c>
      <c r="K331" s="77" t="str">
        <f t="shared" si="45"/>
        <v/>
      </c>
      <c r="L331" s="78" t="str">
        <f t="shared" si="46"/>
        <v/>
      </c>
      <c r="M331" s="4"/>
      <c r="N331" s="79">
        <f>IF(OR($A331="",$B331=""),0,IF(COUNTIFS($A$5:$A331,$A331,$B$5:$B331,$B331)=1,1,0))</f>
        <v>0</v>
      </c>
      <c r="O331" s="79" t="str">
        <f t="shared" si="47"/>
        <v/>
      </c>
      <c r="P331" s="79" t="str">
        <f t="shared" si="48"/>
        <v/>
      </c>
      <c r="AL331" s="89" t="str">
        <f t="shared" ca="1" si="49"/>
        <v/>
      </c>
    </row>
    <row r="332" spans="1:38" x14ac:dyDescent="0.3">
      <c r="A332" s="70"/>
      <c r="B332" s="71"/>
      <c r="C332" s="71"/>
      <c r="D332" s="71"/>
      <c r="E332" s="72"/>
      <c r="F332" s="73"/>
      <c r="G332" s="74"/>
      <c r="H332" s="75" t="str">
        <f t="shared" si="42"/>
        <v/>
      </c>
      <c r="I332" s="16" t="str">
        <f t="shared" si="43"/>
        <v/>
      </c>
      <c r="J332" s="76" t="str">
        <f t="shared" si="44"/>
        <v/>
      </c>
      <c r="K332" s="77" t="str">
        <f t="shared" si="45"/>
        <v/>
      </c>
      <c r="L332" s="78" t="str">
        <f t="shared" si="46"/>
        <v/>
      </c>
      <c r="M332" s="4"/>
      <c r="N332" s="79">
        <f>IF(OR($A332="",$B332=""),0,IF(COUNTIFS($A$5:$A332,$A332,$B$5:$B332,$B332)=1,1,0))</f>
        <v>0</v>
      </c>
      <c r="O332" s="79" t="str">
        <f t="shared" si="47"/>
        <v/>
      </c>
      <c r="P332" s="79" t="str">
        <f t="shared" si="48"/>
        <v/>
      </c>
      <c r="AL332" s="89" t="str">
        <f t="shared" ca="1" si="49"/>
        <v/>
      </c>
    </row>
    <row r="333" spans="1:38" x14ac:dyDescent="0.3">
      <c r="A333" s="70"/>
      <c r="B333" s="71"/>
      <c r="C333" s="71"/>
      <c r="D333" s="71"/>
      <c r="E333" s="72"/>
      <c r="F333" s="73"/>
      <c r="G333" s="74"/>
      <c r="H333" s="75" t="str">
        <f t="shared" si="42"/>
        <v/>
      </c>
      <c r="I333" s="16" t="str">
        <f t="shared" si="43"/>
        <v/>
      </c>
      <c r="J333" s="76" t="str">
        <f t="shared" si="44"/>
        <v/>
      </c>
      <c r="K333" s="77" t="str">
        <f t="shared" si="45"/>
        <v/>
      </c>
      <c r="L333" s="78" t="str">
        <f t="shared" si="46"/>
        <v/>
      </c>
      <c r="M333" s="4"/>
      <c r="N333" s="79">
        <f>IF(OR($A333="",$B333=""),0,IF(COUNTIFS($A$5:$A333,$A333,$B$5:$B333,$B333)=1,1,0))</f>
        <v>0</v>
      </c>
      <c r="O333" s="79" t="str">
        <f t="shared" si="47"/>
        <v/>
      </c>
      <c r="P333" s="79" t="str">
        <f t="shared" si="48"/>
        <v/>
      </c>
      <c r="AL333" s="89" t="str">
        <f t="shared" ca="1" si="49"/>
        <v/>
      </c>
    </row>
    <row r="334" spans="1:38" x14ac:dyDescent="0.3">
      <c r="A334" s="70"/>
      <c r="B334" s="71"/>
      <c r="C334" s="71"/>
      <c r="D334" s="71"/>
      <c r="E334" s="72"/>
      <c r="F334" s="73"/>
      <c r="G334" s="74"/>
      <c r="H334" s="75" t="str">
        <f t="shared" si="42"/>
        <v/>
      </c>
      <c r="I334" s="16" t="str">
        <f t="shared" si="43"/>
        <v/>
      </c>
      <c r="J334" s="76" t="str">
        <f t="shared" si="44"/>
        <v/>
      </c>
      <c r="K334" s="77" t="str">
        <f t="shared" si="45"/>
        <v/>
      </c>
      <c r="L334" s="78" t="str">
        <f t="shared" si="46"/>
        <v/>
      </c>
      <c r="M334" s="4"/>
      <c r="N334" s="79">
        <f>IF(OR($A334="",$B334=""),0,IF(COUNTIFS($A$5:$A334,$A334,$B$5:$B334,$B334)=1,1,0))</f>
        <v>0</v>
      </c>
      <c r="O334" s="79" t="str">
        <f t="shared" si="47"/>
        <v/>
      </c>
      <c r="P334" s="79" t="str">
        <f t="shared" si="48"/>
        <v/>
      </c>
      <c r="AL334" s="89" t="str">
        <f t="shared" ca="1" si="49"/>
        <v/>
      </c>
    </row>
    <row r="335" spans="1:38" x14ac:dyDescent="0.3">
      <c r="A335" s="70"/>
      <c r="B335" s="71"/>
      <c r="C335" s="71"/>
      <c r="D335" s="71"/>
      <c r="E335" s="72"/>
      <c r="F335" s="73"/>
      <c r="G335" s="74"/>
      <c r="H335" s="75" t="str">
        <f t="shared" si="42"/>
        <v/>
      </c>
      <c r="I335" s="16" t="str">
        <f t="shared" si="43"/>
        <v/>
      </c>
      <c r="J335" s="76" t="str">
        <f t="shared" si="44"/>
        <v/>
      </c>
      <c r="K335" s="77" t="str">
        <f t="shared" si="45"/>
        <v/>
      </c>
      <c r="L335" s="78" t="str">
        <f t="shared" si="46"/>
        <v/>
      </c>
      <c r="M335" s="4"/>
      <c r="N335" s="79">
        <f>IF(OR($A335="",$B335=""),0,IF(COUNTIFS($A$5:$A335,$A335,$B$5:$B335,$B335)=1,1,0))</f>
        <v>0</v>
      </c>
      <c r="O335" s="79" t="str">
        <f t="shared" si="47"/>
        <v/>
      </c>
      <c r="P335" s="79" t="str">
        <f t="shared" si="48"/>
        <v/>
      </c>
      <c r="AL335" s="89" t="str">
        <f t="shared" ca="1" si="49"/>
        <v/>
      </c>
    </row>
    <row r="336" spans="1:38" x14ac:dyDescent="0.3">
      <c r="A336" s="70"/>
      <c r="B336" s="71"/>
      <c r="C336" s="71"/>
      <c r="D336" s="71"/>
      <c r="E336" s="72"/>
      <c r="F336" s="73"/>
      <c r="G336" s="74"/>
      <c r="H336" s="75" t="str">
        <f t="shared" si="42"/>
        <v/>
      </c>
      <c r="I336" s="16" t="str">
        <f t="shared" si="43"/>
        <v/>
      </c>
      <c r="J336" s="76" t="str">
        <f t="shared" si="44"/>
        <v/>
      </c>
      <c r="K336" s="77" t="str">
        <f t="shared" si="45"/>
        <v/>
      </c>
      <c r="L336" s="78" t="str">
        <f t="shared" si="46"/>
        <v/>
      </c>
      <c r="M336" s="4"/>
      <c r="N336" s="79">
        <f>IF(OR($A336="",$B336=""),0,IF(COUNTIFS($A$5:$A336,$A336,$B$5:$B336,$B336)=1,1,0))</f>
        <v>0</v>
      </c>
      <c r="O336" s="79" t="str">
        <f t="shared" si="47"/>
        <v/>
      </c>
      <c r="P336" s="79" t="str">
        <f t="shared" si="48"/>
        <v/>
      </c>
      <c r="AL336" s="89" t="str">
        <f t="shared" ca="1" si="49"/>
        <v/>
      </c>
    </row>
    <row r="337" spans="1:38" x14ac:dyDescent="0.3">
      <c r="A337" s="70"/>
      <c r="B337" s="71"/>
      <c r="C337" s="71"/>
      <c r="D337" s="71"/>
      <c r="E337" s="72"/>
      <c r="F337" s="73"/>
      <c r="G337" s="74"/>
      <c r="H337" s="75" t="str">
        <f t="shared" si="42"/>
        <v/>
      </c>
      <c r="I337" s="16" t="str">
        <f t="shared" si="43"/>
        <v/>
      </c>
      <c r="J337" s="76" t="str">
        <f t="shared" si="44"/>
        <v/>
      </c>
      <c r="K337" s="77" t="str">
        <f t="shared" si="45"/>
        <v/>
      </c>
      <c r="L337" s="78" t="str">
        <f t="shared" si="46"/>
        <v/>
      </c>
      <c r="M337" s="4"/>
      <c r="N337" s="79">
        <f>IF(OR($A337="",$B337=""),0,IF(COUNTIFS($A$5:$A337,$A337,$B$5:$B337,$B337)=1,1,0))</f>
        <v>0</v>
      </c>
      <c r="O337" s="79" t="str">
        <f t="shared" si="47"/>
        <v/>
      </c>
      <c r="P337" s="79" t="str">
        <f t="shared" si="48"/>
        <v/>
      </c>
      <c r="AL337" s="89" t="str">
        <f t="shared" ca="1" si="49"/>
        <v/>
      </c>
    </row>
    <row r="338" spans="1:38" x14ac:dyDescent="0.3">
      <c r="A338" s="70"/>
      <c r="B338" s="71"/>
      <c r="C338" s="71"/>
      <c r="D338" s="71"/>
      <c r="E338" s="72"/>
      <c r="F338" s="73"/>
      <c r="G338" s="74"/>
      <c r="H338" s="75" t="str">
        <f t="shared" si="42"/>
        <v/>
      </c>
      <c r="I338" s="16" t="str">
        <f t="shared" si="43"/>
        <v/>
      </c>
      <c r="J338" s="76" t="str">
        <f t="shared" si="44"/>
        <v/>
      </c>
      <c r="K338" s="77" t="str">
        <f t="shared" si="45"/>
        <v/>
      </c>
      <c r="L338" s="78" t="str">
        <f t="shared" si="46"/>
        <v/>
      </c>
      <c r="M338" s="4"/>
      <c r="N338" s="79">
        <f>IF(OR($A338="",$B338=""),0,IF(COUNTIFS($A$5:$A338,$A338,$B$5:$B338,$B338)=1,1,0))</f>
        <v>0</v>
      </c>
      <c r="O338" s="79" t="str">
        <f t="shared" si="47"/>
        <v/>
      </c>
      <c r="P338" s="79" t="str">
        <f t="shared" si="48"/>
        <v/>
      </c>
      <c r="AL338" s="89" t="str">
        <f t="shared" ca="1" si="49"/>
        <v/>
      </c>
    </row>
    <row r="339" spans="1:38" x14ac:dyDescent="0.3">
      <c r="A339" s="70"/>
      <c r="B339" s="71"/>
      <c r="C339" s="71"/>
      <c r="D339" s="71"/>
      <c r="E339" s="72"/>
      <c r="F339" s="73"/>
      <c r="G339" s="74"/>
      <c r="H339" s="75" t="str">
        <f t="shared" si="42"/>
        <v/>
      </c>
      <c r="I339" s="16" t="str">
        <f t="shared" si="43"/>
        <v/>
      </c>
      <c r="J339" s="76" t="str">
        <f t="shared" si="44"/>
        <v/>
      </c>
      <c r="K339" s="77" t="str">
        <f t="shared" si="45"/>
        <v/>
      </c>
      <c r="L339" s="78" t="str">
        <f t="shared" si="46"/>
        <v/>
      </c>
      <c r="M339" s="4"/>
      <c r="N339" s="79">
        <f>IF(OR($A339="",$B339=""),0,IF(COUNTIFS($A$5:$A339,$A339,$B$5:$B339,$B339)=1,1,0))</f>
        <v>0</v>
      </c>
      <c r="O339" s="79" t="str">
        <f t="shared" si="47"/>
        <v/>
      </c>
      <c r="P339" s="79" t="str">
        <f t="shared" si="48"/>
        <v/>
      </c>
      <c r="AL339" s="89" t="str">
        <f t="shared" ca="1" si="49"/>
        <v/>
      </c>
    </row>
    <row r="340" spans="1:38" x14ac:dyDescent="0.3">
      <c r="A340" s="70"/>
      <c r="B340" s="71"/>
      <c r="C340" s="71"/>
      <c r="D340" s="71"/>
      <c r="E340" s="72"/>
      <c r="F340" s="73"/>
      <c r="G340" s="74"/>
      <c r="H340" s="75" t="str">
        <f t="shared" si="42"/>
        <v/>
      </c>
      <c r="I340" s="16" t="str">
        <f t="shared" si="43"/>
        <v/>
      </c>
      <c r="J340" s="76" t="str">
        <f t="shared" si="44"/>
        <v/>
      </c>
      <c r="K340" s="77" t="str">
        <f t="shared" si="45"/>
        <v/>
      </c>
      <c r="L340" s="78" t="str">
        <f t="shared" si="46"/>
        <v/>
      </c>
      <c r="M340" s="4"/>
      <c r="N340" s="79">
        <f>IF(OR($A340="",$B340=""),0,IF(COUNTIFS($A$5:$A340,$A340,$B$5:$B340,$B340)=1,1,0))</f>
        <v>0</v>
      </c>
      <c r="O340" s="79" t="str">
        <f t="shared" si="47"/>
        <v/>
      </c>
      <c r="P340" s="79" t="str">
        <f t="shared" si="48"/>
        <v/>
      </c>
      <c r="AL340" s="89" t="str">
        <f t="shared" ca="1" si="49"/>
        <v/>
      </c>
    </row>
    <row r="341" spans="1:38" x14ac:dyDescent="0.3">
      <c r="A341" s="70"/>
      <c r="B341" s="71"/>
      <c r="C341" s="71"/>
      <c r="D341" s="71"/>
      <c r="E341" s="72"/>
      <c r="F341" s="73"/>
      <c r="G341" s="74"/>
      <c r="H341" s="75" t="str">
        <f t="shared" si="42"/>
        <v/>
      </c>
      <c r="I341" s="16" t="str">
        <f t="shared" si="43"/>
        <v/>
      </c>
      <c r="J341" s="76" t="str">
        <f t="shared" si="44"/>
        <v/>
      </c>
      <c r="K341" s="77" t="str">
        <f t="shared" si="45"/>
        <v/>
      </c>
      <c r="L341" s="78" t="str">
        <f t="shared" si="46"/>
        <v/>
      </c>
      <c r="M341" s="4"/>
      <c r="N341" s="79">
        <f>IF(OR($A341="",$B341=""),0,IF(COUNTIFS($A$5:$A341,$A341,$B$5:$B341,$B341)=1,1,0))</f>
        <v>0</v>
      </c>
      <c r="O341" s="79" t="str">
        <f t="shared" si="47"/>
        <v/>
      </c>
      <c r="P341" s="79" t="str">
        <f t="shared" si="48"/>
        <v/>
      </c>
      <c r="AL341" s="89" t="str">
        <f t="shared" ca="1" si="49"/>
        <v/>
      </c>
    </row>
    <row r="342" spans="1:38" x14ac:dyDescent="0.3">
      <c r="A342" s="70"/>
      <c r="B342" s="71"/>
      <c r="C342" s="71"/>
      <c r="D342" s="71"/>
      <c r="E342" s="72"/>
      <c r="F342" s="73"/>
      <c r="G342" s="74"/>
      <c r="H342" s="75" t="str">
        <f t="shared" si="42"/>
        <v/>
      </c>
      <c r="I342" s="16" t="str">
        <f t="shared" si="43"/>
        <v/>
      </c>
      <c r="J342" s="76" t="str">
        <f t="shared" si="44"/>
        <v/>
      </c>
      <c r="K342" s="77" t="str">
        <f t="shared" si="45"/>
        <v/>
      </c>
      <c r="L342" s="78" t="str">
        <f t="shared" si="46"/>
        <v/>
      </c>
      <c r="M342" s="4"/>
      <c r="N342" s="79">
        <f>IF(OR($A342="",$B342=""),0,IF(COUNTIFS($A$5:$A342,$A342,$B$5:$B342,$B342)=1,1,0))</f>
        <v>0</v>
      </c>
      <c r="O342" s="79" t="str">
        <f t="shared" si="47"/>
        <v/>
      </c>
      <c r="P342" s="79" t="str">
        <f t="shared" si="48"/>
        <v/>
      </c>
      <c r="AL342" s="89" t="str">
        <f t="shared" ca="1" si="49"/>
        <v/>
      </c>
    </row>
    <row r="343" spans="1:38" x14ac:dyDescent="0.3">
      <c r="A343" s="70"/>
      <c r="B343" s="71"/>
      <c r="C343" s="71"/>
      <c r="D343" s="71"/>
      <c r="E343" s="72"/>
      <c r="F343" s="73"/>
      <c r="G343" s="74"/>
      <c r="H343" s="75" t="str">
        <f t="shared" si="42"/>
        <v/>
      </c>
      <c r="I343" s="16" t="str">
        <f t="shared" si="43"/>
        <v/>
      </c>
      <c r="J343" s="76" t="str">
        <f t="shared" si="44"/>
        <v/>
      </c>
      <c r="K343" s="77" t="str">
        <f t="shared" si="45"/>
        <v/>
      </c>
      <c r="L343" s="78" t="str">
        <f t="shared" si="46"/>
        <v/>
      </c>
      <c r="M343" s="4"/>
      <c r="N343" s="79">
        <f>IF(OR($A343="",$B343=""),0,IF(COUNTIFS($A$5:$A343,$A343,$B$5:$B343,$B343)=1,1,0))</f>
        <v>0</v>
      </c>
      <c r="O343" s="79" t="str">
        <f t="shared" si="47"/>
        <v/>
      </c>
      <c r="P343" s="79" t="str">
        <f t="shared" si="48"/>
        <v/>
      </c>
      <c r="AL343" s="89" t="str">
        <f t="shared" ca="1" si="49"/>
        <v/>
      </c>
    </row>
    <row r="344" spans="1:38" x14ac:dyDescent="0.3">
      <c r="A344" s="70"/>
      <c r="B344" s="71"/>
      <c r="C344" s="71"/>
      <c r="D344" s="71"/>
      <c r="E344" s="72"/>
      <c r="F344" s="73"/>
      <c r="G344" s="74"/>
      <c r="H344" s="75" t="str">
        <f t="shared" si="42"/>
        <v/>
      </c>
      <c r="I344" s="16" t="str">
        <f t="shared" si="43"/>
        <v/>
      </c>
      <c r="J344" s="76" t="str">
        <f t="shared" si="44"/>
        <v/>
      </c>
      <c r="K344" s="77" t="str">
        <f t="shared" si="45"/>
        <v/>
      </c>
      <c r="L344" s="78" t="str">
        <f t="shared" si="46"/>
        <v/>
      </c>
      <c r="M344" s="4"/>
      <c r="N344" s="79">
        <f>IF(OR($A344="",$B344=""),0,IF(COUNTIFS($A$5:$A344,$A344,$B$5:$B344,$B344)=1,1,0))</f>
        <v>0</v>
      </c>
      <c r="O344" s="79" t="str">
        <f t="shared" si="47"/>
        <v/>
      </c>
      <c r="P344" s="79" t="str">
        <f t="shared" si="48"/>
        <v/>
      </c>
      <c r="AL344" s="89" t="str">
        <f t="shared" ca="1" si="49"/>
        <v/>
      </c>
    </row>
    <row r="345" spans="1:38" x14ac:dyDescent="0.3">
      <c r="A345" s="70"/>
      <c r="B345" s="71"/>
      <c r="C345" s="71"/>
      <c r="D345" s="71"/>
      <c r="E345" s="72"/>
      <c r="F345" s="73"/>
      <c r="G345" s="74"/>
      <c r="H345" s="75" t="str">
        <f t="shared" si="42"/>
        <v/>
      </c>
      <c r="I345" s="16" t="str">
        <f t="shared" si="43"/>
        <v/>
      </c>
      <c r="J345" s="76" t="str">
        <f t="shared" si="44"/>
        <v/>
      </c>
      <c r="K345" s="77" t="str">
        <f t="shared" si="45"/>
        <v/>
      </c>
      <c r="L345" s="78" t="str">
        <f t="shared" si="46"/>
        <v/>
      </c>
      <c r="M345" s="4"/>
      <c r="N345" s="79">
        <f>IF(OR($A345="",$B345=""),0,IF(COUNTIFS($A$5:$A345,$A345,$B$5:$B345,$B345)=1,1,0))</f>
        <v>0</v>
      </c>
      <c r="O345" s="79" t="str">
        <f t="shared" si="47"/>
        <v/>
      </c>
      <c r="P345" s="79" t="str">
        <f t="shared" si="48"/>
        <v/>
      </c>
      <c r="AL345" s="89" t="str">
        <f t="shared" ca="1" si="49"/>
        <v/>
      </c>
    </row>
    <row r="346" spans="1:38" x14ac:dyDescent="0.3">
      <c r="A346" s="70"/>
      <c r="B346" s="71"/>
      <c r="C346" s="71"/>
      <c r="D346" s="71"/>
      <c r="E346" s="72"/>
      <c r="F346" s="73"/>
      <c r="G346" s="74"/>
      <c r="H346" s="75" t="str">
        <f t="shared" si="42"/>
        <v/>
      </c>
      <c r="I346" s="16" t="str">
        <f t="shared" si="43"/>
        <v/>
      </c>
      <c r="J346" s="76" t="str">
        <f t="shared" si="44"/>
        <v/>
      </c>
      <c r="K346" s="77" t="str">
        <f t="shared" si="45"/>
        <v/>
      </c>
      <c r="L346" s="78" t="str">
        <f t="shared" si="46"/>
        <v/>
      </c>
      <c r="M346" s="4"/>
      <c r="N346" s="79">
        <f>IF(OR($A346="",$B346=""),0,IF(COUNTIFS($A$5:$A346,$A346,$B$5:$B346,$B346)=1,1,0))</f>
        <v>0</v>
      </c>
      <c r="O346" s="79" t="str">
        <f t="shared" si="47"/>
        <v/>
      </c>
      <c r="P346" s="79" t="str">
        <f t="shared" si="48"/>
        <v/>
      </c>
      <c r="AL346" s="89" t="str">
        <f t="shared" ca="1" si="49"/>
        <v/>
      </c>
    </row>
    <row r="347" spans="1:38" x14ac:dyDescent="0.3">
      <c r="A347" s="70"/>
      <c r="B347" s="71"/>
      <c r="C347" s="71"/>
      <c r="D347" s="71"/>
      <c r="E347" s="72"/>
      <c r="F347" s="73"/>
      <c r="G347" s="74"/>
      <c r="H347" s="75" t="str">
        <f t="shared" si="42"/>
        <v/>
      </c>
      <c r="I347" s="16" t="str">
        <f t="shared" si="43"/>
        <v/>
      </c>
      <c r="J347" s="76" t="str">
        <f t="shared" si="44"/>
        <v/>
      </c>
      <c r="K347" s="77" t="str">
        <f t="shared" si="45"/>
        <v/>
      </c>
      <c r="L347" s="78" t="str">
        <f t="shared" si="46"/>
        <v/>
      </c>
      <c r="M347" s="4"/>
      <c r="N347" s="79">
        <f>IF(OR($A347="",$B347=""),0,IF(COUNTIFS($A$5:$A347,$A347,$B$5:$B347,$B347)=1,1,0))</f>
        <v>0</v>
      </c>
      <c r="O347" s="79" t="str">
        <f t="shared" si="47"/>
        <v/>
      </c>
      <c r="P347" s="79" t="str">
        <f t="shared" si="48"/>
        <v/>
      </c>
      <c r="AL347" s="89" t="str">
        <f t="shared" ca="1" si="49"/>
        <v/>
      </c>
    </row>
    <row r="348" spans="1:38" x14ac:dyDescent="0.3">
      <c r="A348" s="70"/>
      <c r="B348" s="71"/>
      <c r="C348" s="71"/>
      <c r="D348" s="71"/>
      <c r="E348" s="72"/>
      <c r="F348" s="73"/>
      <c r="G348" s="74"/>
      <c r="H348" s="75" t="str">
        <f t="shared" si="42"/>
        <v/>
      </c>
      <c r="I348" s="16" t="str">
        <f t="shared" si="43"/>
        <v/>
      </c>
      <c r="J348" s="76" t="str">
        <f t="shared" si="44"/>
        <v/>
      </c>
      <c r="K348" s="77" t="str">
        <f t="shared" si="45"/>
        <v/>
      </c>
      <c r="L348" s="78" t="str">
        <f t="shared" si="46"/>
        <v/>
      </c>
      <c r="M348" s="4"/>
      <c r="N348" s="79">
        <f>IF(OR($A348="",$B348=""),0,IF(COUNTIFS($A$5:$A348,$A348,$B$5:$B348,$B348)=1,1,0))</f>
        <v>0</v>
      </c>
      <c r="O348" s="79" t="str">
        <f t="shared" si="47"/>
        <v/>
      </c>
      <c r="P348" s="79" t="str">
        <f t="shared" si="48"/>
        <v/>
      </c>
      <c r="AL348" s="89" t="str">
        <f t="shared" ca="1" si="49"/>
        <v/>
      </c>
    </row>
    <row r="349" spans="1:38" x14ac:dyDescent="0.3">
      <c r="A349" s="70"/>
      <c r="B349" s="71"/>
      <c r="C349" s="71"/>
      <c r="D349" s="71"/>
      <c r="E349" s="72"/>
      <c r="F349" s="73"/>
      <c r="G349" s="74"/>
      <c r="H349" s="75" t="str">
        <f t="shared" si="42"/>
        <v/>
      </c>
      <c r="I349" s="16" t="str">
        <f t="shared" si="43"/>
        <v/>
      </c>
      <c r="J349" s="76" t="str">
        <f t="shared" si="44"/>
        <v/>
      </c>
      <c r="K349" s="77" t="str">
        <f t="shared" si="45"/>
        <v/>
      </c>
      <c r="L349" s="78" t="str">
        <f t="shared" si="46"/>
        <v/>
      </c>
      <c r="M349" s="4"/>
      <c r="N349" s="79">
        <f>IF(OR($A349="",$B349=""),0,IF(COUNTIFS($A$5:$A349,$A349,$B$5:$B349,$B349)=1,1,0))</f>
        <v>0</v>
      </c>
      <c r="O349" s="79" t="str">
        <f t="shared" si="47"/>
        <v/>
      </c>
      <c r="P349" s="79" t="str">
        <f t="shared" si="48"/>
        <v/>
      </c>
      <c r="AL349" s="89" t="str">
        <f t="shared" ca="1" si="49"/>
        <v/>
      </c>
    </row>
    <row r="350" spans="1:38" x14ac:dyDescent="0.3">
      <c r="A350" s="70"/>
      <c r="B350" s="71"/>
      <c r="C350" s="71"/>
      <c r="D350" s="71"/>
      <c r="E350" s="72"/>
      <c r="F350" s="73"/>
      <c r="G350" s="74"/>
      <c r="H350" s="75" t="str">
        <f t="shared" si="42"/>
        <v/>
      </c>
      <c r="I350" s="16" t="str">
        <f t="shared" si="43"/>
        <v/>
      </c>
      <c r="J350" s="76" t="str">
        <f t="shared" si="44"/>
        <v/>
      </c>
      <c r="K350" s="77" t="str">
        <f t="shared" si="45"/>
        <v/>
      </c>
      <c r="L350" s="78" t="str">
        <f t="shared" si="46"/>
        <v/>
      </c>
      <c r="M350" s="4"/>
      <c r="N350" s="79">
        <f>IF(OR($A350="",$B350=""),0,IF(COUNTIFS($A$5:$A350,$A350,$B$5:$B350,$B350)=1,1,0))</f>
        <v>0</v>
      </c>
      <c r="O350" s="79" t="str">
        <f t="shared" si="47"/>
        <v/>
      </c>
      <c r="P350" s="79" t="str">
        <f t="shared" si="48"/>
        <v/>
      </c>
      <c r="AL350" s="89" t="str">
        <f t="shared" ca="1" si="49"/>
        <v/>
      </c>
    </row>
    <row r="351" spans="1:38" x14ac:dyDescent="0.3">
      <c r="A351" s="70"/>
      <c r="B351" s="71"/>
      <c r="C351" s="71"/>
      <c r="D351" s="71"/>
      <c r="E351" s="72"/>
      <c r="F351" s="73"/>
      <c r="G351" s="74"/>
      <c r="H351" s="75" t="str">
        <f t="shared" si="42"/>
        <v/>
      </c>
      <c r="I351" s="16" t="str">
        <f t="shared" si="43"/>
        <v/>
      </c>
      <c r="J351" s="76" t="str">
        <f t="shared" si="44"/>
        <v/>
      </c>
      <c r="K351" s="77" t="str">
        <f t="shared" si="45"/>
        <v/>
      </c>
      <c r="L351" s="78" t="str">
        <f t="shared" si="46"/>
        <v/>
      </c>
      <c r="M351" s="4"/>
      <c r="N351" s="79">
        <f>IF(OR($A351="",$B351=""),0,IF(COUNTIFS($A$5:$A351,$A351,$B$5:$B351,$B351)=1,1,0))</f>
        <v>0</v>
      </c>
      <c r="O351" s="79" t="str">
        <f t="shared" si="47"/>
        <v/>
      </c>
      <c r="P351" s="79" t="str">
        <f t="shared" si="48"/>
        <v/>
      </c>
      <c r="AL351" s="89" t="str">
        <f t="shared" ca="1" si="49"/>
        <v/>
      </c>
    </row>
    <row r="352" spans="1:38" x14ac:dyDescent="0.3">
      <c r="A352" s="70"/>
      <c r="B352" s="71"/>
      <c r="C352" s="71"/>
      <c r="D352" s="71"/>
      <c r="E352" s="72"/>
      <c r="F352" s="73"/>
      <c r="G352" s="74"/>
      <c r="H352" s="75" t="str">
        <f t="shared" si="42"/>
        <v/>
      </c>
      <c r="I352" s="16" t="str">
        <f t="shared" si="43"/>
        <v/>
      </c>
      <c r="J352" s="76" t="str">
        <f t="shared" si="44"/>
        <v/>
      </c>
      <c r="K352" s="77" t="str">
        <f t="shared" si="45"/>
        <v/>
      </c>
      <c r="L352" s="78" t="str">
        <f t="shared" si="46"/>
        <v/>
      </c>
      <c r="M352" s="4"/>
      <c r="N352" s="79">
        <f>IF(OR($A352="",$B352=""),0,IF(COUNTIFS($A$5:$A352,$A352,$B$5:$B352,$B352)=1,1,0))</f>
        <v>0</v>
      </c>
      <c r="O352" s="79" t="str">
        <f t="shared" si="47"/>
        <v/>
      </c>
      <c r="P352" s="79" t="str">
        <f t="shared" si="48"/>
        <v/>
      </c>
      <c r="AL352" s="89" t="str">
        <f t="shared" ca="1" si="49"/>
        <v/>
      </c>
    </row>
    <row r="353" spans="1:38" x14ac:dyDescent="0.3">
      <c r="A353" s="70"/>
      <c r="B353" s="71"/>
      <c r="C353" s="71"/>
      <c r="D353" s="71"/>
      <c r="E353" s="72"/>
      <c r="F353" s="73"/>
      <c r="G353" s="74"/>
      <c r="H353" s="75" t="str">
        <f t="shared" si="42"/>
        <v/>
      </c>
      <c r="I353" s="16" t="str">
        <f t="shared" si="43"/>
        <v/>
      </c>
      <c r="J353" s="76" t="str">
        <f t="shared" si="44"/>
        <v/>
      </c>
      <c r="K353" s="77" t="str">
        <f t="shared" si="45"/>
        <v/>
      </c>
      <c r="L353" s="78" t="str">
        <f t="shared" si="46"/>
        <v/>
      </c>
      <c r="M353" s="4"/>
      <c r="N353" s="79">
        <f>IF(OR($A353="",$B353=""),0,IF(COUNTIFS($A$5:$A353,$A353,$B$5:$B353,$B353)=1,1,0))</f>
        <v>0</v>
      </c>
      <c r="O353" s="79" t="str">
        <f t="shared" si="47"/>
        <v/>
      </c>
      <c r="P353" s="79" t="str">
        <f t="shared" si="48"/>
        <v/>
      </c>
      <c r="AL353" s="89" t="str">
        <f t="shared" ca="1" si="49"/>
        <v/>
      </c>
    </row>
    <row r="354" spans="1:38" x14ac:dyDescent="0.3">
      <c r="A354" s="70"/>
      <c r="B354" s="71"/>
      <c r="C354" s="71"/>
      <c r="D354" s="71"/>
      <c r="E354" s="72"/>
      <c r="F354" s="73"/>
      <c r="G354" s="74"/>
      <c r="H354" s="75" t="str">
        <f t="shared" si="42"/>
        <v/>
      </c>
      <c r="I354" s="16" t="str">
        <f t="shared" si="43"/>
        <v/>
      </c>
      <c r="J354" s="76" t="str">
        <f t="shared" si="44"/>
        <v/>
      </c>
      <c r="K354" s="77" t="str">
        <f t="shared" si="45"/>
        <v/>
      </c>
      <c r="L354" s="78" t="str">
        <f t="shared" si="46"/>
        <v/>
      </c>
      <c r="M354" s="4"/>
      <c r="N354" s="79">
        <f>IF(OR($A354="",$B354=""),0,IF(COUNTIFS($A$5:$A354,$A354,$B$5:$B354,$B354)=1,1,0))</f>
        <v>0</v>
      </c>
      <c r="O354" s="79" t="str">
        <f t="shared" si="47"/>
        <v/>
      </c>
      <c r="P354" s="79" t="str">
        <f t="shared" si="48"/>
        <v/>
      </c>
      <c r="AL354" s="89" t="str">
        <f t="shared" ca="1" si="49"/>
        <v/>
      </c>
    </row>
    <row r="355" spans="1:38" x14ac:dyDescent="0.3">
      <c r="A355" s="70"/>
      <c r="B355" s="71"/>
      <c r="C355" s="71"/>
      <c r="D355" s="71"/>
      <c r="E355" s="72"/>
      <c r="F355" s="73"/>
      <c r="G355" s="74"/>
      <c r="H355" s="75" t="str">
        <f t="shared" si="42"/>
        <v/>
      </c>
      <c r="I355" s="16" t="str">
        <f t="shared" si="43"/>
        <v/>
      </c>
      <c r="J355" s="76" t="str">
        <f t="shared" si="44"/>
        <v/>
      </c>
      <c r="K355" s="77" t="str">
        <f t="shared" si="45"/>
        <v/>
      </c>
      <c r="L355" s="78" t="str">
        <f t="shared" si="46"/>
        <v/>
      </c>
      <c r="M355" s="4"/>
      <c r="N355" s="79">
        <f>IF(OR($A355="",$B355=""),0,IF(COUNTIFS($A$5:$A355,$A355,$B$5:$B355,$B355)=1,1,0))</f>
        <v>0</v>
      </c>
      <c r="O355" s="79" t="str">
        <f t="shared" si="47"/>
        <v/>
      </c>
      <c r="P355" s="79" t="str">
        <f t="shared" si="48"/>
        <v/>
      </c>
      <c r="AL355" s="89" t="str">
        <f t="shared" ca="1" si="49"/>
        <v/>
      </c>
    </row>
    <row r="356" spans="1:38" x14ac:dyDescent="0.3">
      <c r="A356" s="70"/>
      <c r="B356" s="71"/>
      <c r="C356" s="71"/>
      <c r="D356" s="71"/>
      <c r="E356" s="72"/>
      <c r="F356" s="73"/>
      <c r="G356" s="74"/>
      <c r="H356" s="75" t="str">
        <f t="shared" si="42"/>
        <v/>
      </c>
      <c r="I356" s="16" t="str">
        <f t="shared" si="43"/>
        <v/>
      </c>
      <c r="J356" s="76" t="str">
        <f t="shared" si="44"/>
        <v/>
      </c>
      <c r="K356" s="77" t="str">
        <f t="shared" si="45"/>
        <v/>
      </c>
      <c r="L356" s="78" t="str">
        <f t="shared" si="46"/>
        <v/>
      </c>
      <c r="M356" s="4"/>
      <c r="N356" s="79">
        <f>IF(OR($A356="",$B356=""),0,IF(COUNTIFS($A$5:$A356,$A356,$B$5:$B356,$B356)=1,1,0))</f>
        <v>0</v>
      </c>
      <c r="O356" s="79" t="str">
        <f t="shared" si="47"/>
        <v/>
      </c>
      <c r="P356" s="79" t="str">
        <f t="shared" si="48"/>
        <v/>
      </c>
      <c r="AL356" s="89" t="str">
        <f t="shared" ca="1" si="49"/>
        <v/>
      </c>
    </row>
    <row r="357" spans="1:38" x14ac:dyDescent="0.3">
      <c r="A357" s="70"/>
      <c r="B357" s="71"/>
      <c r="C357" s="71"/>
      <c r="D357" s="71"/>
      <c r="E357" s="72"/>
      <c r="F357" s="73"/>
      <c r="G357" s="74"/>
      <c r="H357" s="75" t="str">
        <f t="shared" si="42"/>
        <v/>
      </c>
      <c r="I357" s="16" t="str">
        <f t="shared" si="43"/>
        <v/>
      </c>
      <c r="J357" s="76" t="str">
        <f t="shared" si="44"/>
        <v/>
      </c>
      <c r="K357" s="77" t="str">
        <f t="shared" si="45"/>
        <v/>
      </c>
      <c r="L357" s="78" t="str">
        <f t="shared" si="46"/>
        <v/>
      </c>
      <c r="M357" s="4"/>
      <c r="N357" s="79">
        <f>IF(OR($A357="",$B357=""),0,IF(COUNTIFS($A$5:$A357,$A357,$B$5:$B357,$B357)=1,1,0))</f>
        <v>0</v>
      </c>
      <c r="O357" s="79" t="str">
        <f t="shared" si="47"/>
        <v/>
      </c>
      <c r="P357" s="79" t="str">
        <f t="shared" si="48"/>
        <v/>
      </c>
      <c r="AL357" s="89" t="str">
        <f t="shared" ca="1" si="49"/>
        <v/>
      </c>
    </row>
    <row r="358" spans="1:38" x14ac:dyDescent="0.3">
      <c r="A358" s="70"/>
      <c r="B358" s="71"/>
      <c r="C358" s="71"/>
      <c r="D358" s="71"/>
      <c r="E358" s="72"/>
      <c r="F358" s="73"/>
      <c r="G358" s="74"/>
      <c r="H358" s="75" t="str">
        <f t="shared" si="42"/>
        <v/>
      </c>
      <c r="I358" s="16" t="str">
        <f t="shared" si="43"/>
        <v/>
      </c>
      <c r="J358" s="76" t="str">
        <f t="shared" si="44"/>
        <v/>
      </c>
      <c r="K358" s="77" t="str">
        <f t="shared" si="45"/>
        <v/>
      </c>
      <c r="L358" s="78" t="str">
        <f t="shared" si="46"/>
        <v/>
      </c>
      <c r="M358" s="4"/>
      <c r="N358" s="79">
        <f>IF(OR($A358="",$B358=""),0,IF(COUNTIFS($A$5:$A358,$A358,$B$5:$B358,$B358)=1,1,0))</f>
        <v>0</v>
      </c>
      <c r="O358" s="79" t="str">
        <f t="shared" si="47"/>
        <v/>
      </c>
      <c r="P358" s="79" t="str">
        <f t="shared" si="48"/>
        <v/>
      </c>
      <c r="AL358" s="89" t="str">
        <f t="shared" ca="1" si="49"/>
        <v/>
      </c>
    </row>
    <row r="359" spans="1:38" x14ac:dyDescent="0.3">
      <c r="A359" s="70"/>
      <c r="B359" s="71"/>
      <c r="C359" s="71"/>
      <c r="D359" s="71"/>
      <c r="E359" s="72"/>
      <c r="F359" s="73"/>
      <c r="G359" s="74"/>
      <c r="H359" s="75" t="str">
        <f t="shared" si="42"/>
        <v/>
      </c>
      <c r="I359" s="16" t="str">
        <f t="shared" si="43"/>
        <v/>
      </c>
      <c r="J359" s="76" t="str">
        <f t="shared" si="44"/>
        <v/>
      </c>
      <c r="K359" s="77" t="str">
        <f t="shared" si="45"/>
        <v/>
      </c>
      <c r="L359" s="78" t="str">
        <f t="shared" si="46"/>
        <v/>
      </c>
      <c r="M359" s="4"/>
      <c r="N359" s="79">
        <f>IF(OR($A359="",$B359=""),0,IF(COUNTIFS($A$5:$A359,$A359,$B$5:$B359,$B359)=1,1,0))</f>
        <v>0</v>
      </c>
      <c r="O359" s="79" t="str">
        <f t="shared" si="47"/>
        <v/>
      </c>
      <c r="P359" s="79" t="str">
        <f t="shared" si="48"/>
        <v/>
      </c>
      <c r="AL359" s="89" t="str">
        <f t="shared" ca="1" si="49"/>
        <v/>
      </c>
    </row>
    <row r="360" spans="1:38" x14ac:dyDescent="0.3">
      <c r="A360" s="70"/>
      <c r="B360" s="71"/>
      <c r="C360" s="71"/>
      <c r="D360" s="71"/>
      <c r="E360" s="72"/>
      <c r="F360" s="73"/>
      <c r="G360" s="74"/>
      <c r="H360" s="75" t="str">
        <f t="shared" si="42"/>
        <v/>
      </c>
      <c r="I360" s="16" t="str">
        <f t="shared" si="43"/>
        <v/>
      </c>
      <c r="J360" s="76" t="str">
        <f t="shared" si="44"/>
        <v/>
      </c>
      <c r="K360" s="77" t="str">
        <f t="shared" si="45"/>
        <v/>
      </c>
      <c r="L360" s="78" t="str">
        <f t="shared" si="46"/>
        <v/>
      </c>
      <c r="M360" s="4"/>
      <c r="N360" s="79">
        <f>IF(OR($A360="",$B360=""),0,IF(COUNTIFS($A$5:$A360,$A360,$B$5:$B360,$B360)=1,1,0))</f>
        <v>0</v>
      </c>
      <c r="O360" s="79" t="str">
        <f t="shared" si="47"/>
        <v/>
      </c>
      <c r="P360" s="79" t="str">
        <f t="shared" si="48"/>
        <v/>
      </c>
      <c r="AL360" s="89" t="str">
        <f t="shared" ca="1" si="49"/>
        <v/>
      </c>
    </row>
    <row r="361" spans="1:38" x14ac:dyDescent="0.3">
      <c r="A361" s="70"/>
      <c r="B361" s="71"/>
      <c r="C361" s="71"/>
      <c r="D361" s="71"/>
      <c r="E361" s="72"/>
      <c r="F361" s="73"/>
      <c r="G361" s="74"/>
      <c r="H361" s="75" t="str">
        <f t="shared" si="42"/>
        <v/>
      </c>
      <c r="I361" s="16" t="str">
        <f t="shared" si="43"/>
        <v/>
      </c>
      <c r="J361" s="76" t="str">
        <f t="shared" si="44"/>
        <v/>
      </c>
      <c r="K361" s="77" t="str">
        <f t="shared" si="45"/>
        <v/>
      </c>
      <c r="L361" s="78" t="str">
        <f t="shared" si="46"/>
        <v/>
      </c>
      <c r="M361" s="4"/>
      <c r="N361" s="79">
        <f>IF(OR($A361="",$B361=""),0,IF(COUNTIFS($A$5:$A361,$A361,$B$5:$B361,$B361)=1,1,0))</f>
        <v>0</v>
      </c>
      <c r="O361" s="79" t="str">
        <f t="shared" si="47"/>
        <v/>
      </c>
      <c r="P361" s="79" t="str">
        <f t="shared" si="48"/>
        <v/>
      </c>
      <c r="AL361" s="89" t="str">
        <f t="shared" ca="1" si="49"/>
        <v/>
      </c>
    </row>
    <row r="362" spans="1:38" x14ac:dyDescent="0.3">
      <c r="A362" s="70"/>
      <c r="B362" s="71"/>
      <c r="C362" s="71"/>
      <c r="D362" s="71"/>
      <c r="E362" s="72"/>
      <c r="F362" s="73"/>
      <c r="G362" s="74"/>
      <c r="H362" s="75" t="str">
        <f t="shared" si="42"/>
        <v/>
      </c>
      <c r="I362" s="16" t="str">
        <f t="shared" si="43"/>
        <v/>
      </c>
      <c r="J362" s="76" t="str">
        <f t="shared" si="44"/>
        <v/>
      </c>
      <c r="K362" s="77" t="str">
        <f t="shared" si="45"/>
        <v/>
      </c>
      <c r="L362" s="78" t="str">
        <f t="shared" si="46"/>
        <v/>
      </c>
      <c r="M362" s="4"/>
      <c r="N362" s="79">
        <f>IF(OR($A362="",$B362=""),0,IF(COUNTIFS($A$5:$A362,$A362,$B$5:$B362,$B362)=1,1,0))</f>
        <v>0</v>
      </c>
      <c r="O362" s="79" t="str">
        <f t="shared" si="47"/>
        <v/>
      </c>
      <c r="P362" s="79" t="str">
        <f t="shared" si="48"/>
        <v/>
      </c>
      <c r="AL362" s="89" t="str">
        <f t="shared" ca="1" si="49"/>
        <v/>
      </c>
    </row>
    <row r="363" spans="1:38" x14ac:dyDescent="0.3">
      <c r="A363" s="70"/>
      <c r="B363" s="71"/>
      <c r="C363" s="71"/>
      <c r="D363" s="71"/>
      <c r="E363" s="72"/>
      <c r="F363" s="73"/>
      <c r="G363" s="74"/>
      <c r="H363" s="75" t="str">
        <f t="shared" si="42"/>
        <v/>
      </c>
      <c r="I363" s="16" t="str">
        <f t="shared" si="43"/>
        <v/>
      </c>
      <c r="J363" s="76" t="str">
        <f t="shared" si="44"/>
        <v/>
      </c>
      <c r="K363" s="77" t="str">
        <f t="shared" si="45"/>
        <v/>
      </c>
      <c r="L363" s="78" t="str">
        <f t="shared" si="46"/>
        <v/>
      </c>
      <c r="M363" s="4"/>
      <c r="N363" s="79">
        <f>IF(OR($A363="",$B363=""),0,IF(COUNTIFS($A$5:$A363,$A363,$B$5:$B363,$B363)=1,1,0))</f>
        <v>0</v>
      </c>
      <c r="O363" s="79" t="str">
        <f t="shared" si="47"/>
        <v/>
      </c>
      <c r="P363" s="79" t="str">
        <f t="shared" si="48"/>
        <v/>
      </c>
      <c r="AL363" s="89" t="str">
        <f t="shared" ca="1" si="49"/>
        <v/>
      </c>
    </row>
    <row r="364" spans="1:38" x14ac:dyDescent="0.3">
      <c r="A364" s="70"/>
      <c r="B364" s="71"/>
      <c r="C364" s="71"/>
      <c r="D364" s="71"/>
      <c r="E364" s="72"/>
      <c r="F364" s="73"/>
      <c r="G364" s="74"/>
      <c r="H364" s="75" t="str">
        <f t="shared" si="42"/>
        <v/>
      </c>
      <c r="I364" s="16" t="str">
        <f t="shared" si="43"/>
        <v/>
      </c>
      <c r="J364" s="76" t="str">
        <f t="shared" si="44"/>
        <v/>
      </c>
      <c r="K364" s="77" t="str">
        <f t="shared" si="45"/>
        <v/>
      </c>
      <c r="L364" s="78" t="str">
        <f t="shared" si="46"/>
        <v/>
      </c>
      <c r="M364" s="4"/>
      <c r="N364" s="79">
        <f>IF(OR($A364="",$B364=""),0,IF(COUNTIFS($A$5:$A364,$A364,$B$5:$B364,$B364)=1,1,0))</f>
        <v>0</v>
      </c>
      <c r="O364" s="79" t="str">
        <f t="shared" si="47"/>
        <v/>
      </c>
      <c r="P364" s="79" t="str">
        <f t="shared" si="48"/>
        <v/>
      </c>
      <c r="AL364" s="89" t="str">
        <f t="shared" ca="1" si="49"/>
        <v/>
      </c>
    </row>
    <row r="365" spans="1:38" x14ac:dyDescent="0.3">
      <c r="A365" s="70"/>
      <c r="B365" s="71"/>
      <c r="C365" s="71"/>
      <c r="D365" s="71"/>
      <c r="E365" s="72"/>
      <c r="F365" s="73"/>
      <c r="G365" s="74"/>
      <c r="H365" s="75" t="str">
        <f t="shared" si="42"/>
        <v/>
      </c>
      <c r="I365" s="16" t="str">
        <f t="shared" si="43"/>
        <v/>
      </c>
      <c r="J365" s="76" t="str">
        <f t="shared" si="44"/>
        <v/>
      </c>
      <c r="K365" s="77" t="str">
        <f t="shared" si="45"/>
        <v/>
      </c>
      <c r="L365" s="78" t="str">
        <f t="shared" si="46"/>
        <v/>
      </c>
      <c r="M365" s="4"/>
      <c r="N365" s="79">
        <f>IF(OR($A365="",$B365=""),0,IF(COUNTIFS($A$5:$A365,$A365,$B$5:$B365,$B365)=1,1,0))</f>
        <v>0</v>
      </c>
      <c r="O365" s="79" t="str">
        <f t="shared" si="47"/>
        <v/>
      </c>
      <c r="P365" s="79" t="str">
        <f t="shared" si="48"/>
        <v/>
      </c>
      <c r="AL365" s="89" t="str">
        <f t="shared" ca="1" si="49"/>
        <v/>
      </c>
    </row>
    <row r="366" spans="1:38" x14ac:dyDescent="0.3">
      <c r="A366" s="70"/>
      <c r="B366" s="71"/>
      <c r="C366" s="71"/>
      <c r="D366" s="71"/>
      <c r="E366" s="72"/>
      <c r="F366" s="73"/>
      <c r="G366" s="74"/>
      <c r="H366" s="75" t="str">
        <f t="shared" si="42"/>
        <v/>
      </c>
      <c r="I366" s="16" t="str">
        <f t="shared" si="43"/>
        <v/>
      </c>
      <c r="J366" s="76" t="str">
        <f t="shared" si="44"/>
        <v/>
      </c>
      <c r="K366" s="77" t="str">
        <f t="shared" si="45"/>
        <v/>
      </c>
      <c r="L366" s="78" t="str">
        <f t="shared" si="46"/>
        <v/>
      </c>
      <c r="M366" s="4"/>
      <c r="N366" s="79">
        <f>IF(OR($A366="",$B366=""),0,IF(COUNTIFS($A$5:$A366,$A366,$B$5:$B366,$B366)=1,1,0))</f>
        <v>0</v>
      </c>
      <c r="O366" s="79" t="str">
        <f t="shared" si="47"/>
        <v/>
      </c>
      <c r="P366" s="79" t="str">
        <f t="shared" si="48"/>
        <v/>
      </c>
      <c r="AL366" s="89" t="str">
        <f t="shared" ca="1" si="49"/>
        <v/>
      </c>
    </row>
    <row r="367" spans="1:38" x14ac:dyDescent="0.3">
      <c r="A367" s="70"/>
      <c r="B367" s="71"/>
      <c r="C367" s="71"/>
      <c r="D367" s="71"/>
      <c r="E367" s="72"/>
      <c r="F367" s="73"/>
      <c r="G367" s="74"/>
      <c r="H367" s="75" t="str">
        <f t="shared" si="42"/>
        <v/>
      </c>
      <c r="I367" s="16" t="str">
        <f t="shared" si="43"/>
        <v/>
      </c>
      <c r="J367" s="76" t="str">
        <f t="shared" si="44"/>
        <v/>
      </c>
      <c r="K367" s="77" t="str">
        <f t="shared" si="45"/>
        <v/>
      </c>
      <c r="L367" s="78" t="str">
        <f t="shared" si="46"/>
        <v/>
      </c>
      <c r="M367" s="4"/>
      <c r="N367" s="79">
        <f>IF(OR($A367="",$B367=""),0,IF(COUNTIFS($A$5:$A367,$A367,$B$5:$B367,$B367)=1,1,0))</f>
        <v>0</v>
      </c>
      <c r="O367" s="79" t="str">
        <f t="shared" si="47"/>
        <v/>
      </c>
      <c r="P367" s="79" t="str">
        <f t="shared" si="48"/>
        <v/>
      </c>
      <c r="AL367" s="89" t="str">
        <f t="shared" ca="1" si="49"/>
        <v/>
      </c>
    </row>
    <row r="368" spans="1:38" x14ac:dyDescent="0.3">
      <c r="A368" s="70"/>
      <c r="B368" s="71"/>
      <c r="C368" s="71"/>
      <c r="D368" s="71"/>
      <c r="E368" s="72"/>
      <c r="F368" s="73"/>
      <c r="G368" s="74"/>
      <c r="H368" s="75" t="str">
        <f t="shared" si="42"/>
        <v/>
      </c>
      <c r="I368" s="16" t="str">
        <f t="shared" si="43"/>
        <v/>
      </c>
      <c r="J368" s="76" t="str">
        <f t="shared" si="44"/>
        <v/>
      </c>
      <c r="K368" s="77" t="str">
        <f t="shared" si="45"/>
        <v/>
      </c>
      <c r="L368" s="78" t="str">
        <f t="shared" si="46"/>
        <v/>
      </c>
      <c r="M368" s="4"/>
      <c r="N368" s="79">
        <f>IF(OR($A368="",$B368=""),0,IF(COUNTIFS($A$5:$A368,$A368,$B$5:$B368,$B368)=1,1,0))</f>
        <v>0</v>
      </c>
      <c r="O368" s="79" t="str">
        <f t="shared" si="47"/>
        <v/>
      </c>
      <c r="P368" s="79" t="str">
        <f t="shared" si="48"/>
        <v/>
      </c>
      <c r="AL368" s="89" t="str">
        <f t="shared" ca="1" si="49"/>
        <v/>
      </c>
    </row>
    <row r="369" spans="1:38" x14ac:dyDescent="0.3">
      <c r="A369" s="70"/>
      <c r="B369" s="71"/>
      <c r="C369" s="71"/>
      <c r="D369" s="71"/>
      <c r="E369" s="72"/>
      <c r="F369" s="73"/>
      <c r="G369" s="74"/>
      <c r="H369" s="75" t="str">
        <f t="shared" si="42"/>
        <v/>
      </c>
      <c r="I369" s="16" t="str">
        <f t="shared" si="43"/>
        <v/>
      </c>
      <c r="J369" s="76" t="str">
        <f t="shared" si="44"/>
        <v/>
      </c>
      <c r="K369" s="77" t="str">
        <f t="shared" si="45"/>
        <v/>
      </c>
      <c r="L369" s="78" t="str">
        <f t="shared" si="46"/>
        <v/>
      </c>
      <c r="M369" s="4"/>
      <c r="N369" s="79">
        <f>IF(OR($A369="",$B369=""),0,IF(COUNTIFS($A$5:$A369,$A369,$B$5:$B369,$B369)=1,1,0))</f>
        <v>0</v>
      </c>
      <c r="O369" s="79" t="str">
        <f t="shared" si="47"/>
        <v/>
      </c>
      <c r="P369" s="79" t="str">
        <f t="shared" si="48"/>
        <v/>
      </c>
      <c r="AL369" s="89" t="str">
        <f t="shared" ca="1" si="49"/>
        <v/>
      </c>
    </row>
    <row r="370" spans="1:38" x14ac:dyDescent="0.3">
      <c r="A370" s="70"/>
      <c r="B370" s="71"/>
      <c r="C370" s="71"/>
      <c r="D370" s="71"/>
      <c r="E370" s="72"/>
      <c r="F370" s="73"/>
      <c r="G370" s="74"/>
      <c r="H370" s="75" t="str">
        <f t="shared" si="42"/>
        <v/>
      </c>
      <c r="I370" s="16" t="str">
        <f t="shared" si="43"/>
        <v/>
      </c>
      <c r="J370" s="76" t="str">
        <f t="shared" si="44"/>
        <v/>
      </c>
      <c r="K370" s="77" t="str">
        <f t="shared" si="45"/>
        <v/>
      </c>
      <c r="L370" s="78" t="str">
        <f t="shared" si="46"/>
        <v/>
      </c>
      <c r="M370" s="4"/>
      <c r="N370" s="79">
        <f>IF(OR($A370="",$B370=""),0,IF(COUNTIFS($A$5:$A370,$A370,$B$5:$B370,$B370)=1,1,0))</f>
        <v>0</v>
      </c>
      <c r="O370" s="79" t="str">
        <f t="shared" si="47"/>
        <v/>
      </c>
      <c r="P370" s="79" t="str">
        <f t="shared" si="48"/>
        <v/>
      </c>
      <c r="AL370" s="89" t="str">
        <f t="shared" ca="1" si="49"/>
        <v/>
      </c>
    </row>
    <row r="371" spans="1:38" x14ac:dyDescent="0.3">
      <c r="A371" s="70"/>
      <c r="B371" s="71"/>
      <c r="C371" s="71"/>
      <c r="D371" s="71"/>
      <c r="E371" s="72"/>
      <c r="F371" s="73"/>
      <c r="G371" s="74"/>
      <c r="H371" s="75" t="str">
        <f t="shared" si="42"/>
        <v/>
      </c>
      <c r="I371" s="16" t="str">
        <f t="shared" si="43"/>
        <v/>
      </c>
      <c r="J371" s="76" t="str">
        <f t="shared" si="44"/>
        <v/>
      </c>
      <c r="K371" s="77" t="str">
        <f t="shared" si="45"/>
        <v/>
      </c>
      <c r="L371" s="78" t="str">
        <f t="shared" si="46"/>
        <v/>
      </c>
      <c r="M371" s="4"/>
      <c r="N371" s="79">
        <f>IF(OR($A371="",$B371=""),0,IF(COUNTIFS($A$5:$A371,$A371,$B$5:$B371,$B371)=1,1,0))</f>
        <v>0</v>
      </c>
      <c r="O371" s="79" t="str">
        <f t="shared" si="47"/>
        <v/>
      </c>
      <c r="P371" s="79" t="str">
        <f t="shared" si="48"/>
        <v/>
      </c>
      <c r="AL371" s="89" t="str">
        <f t="shared" ca="1" si="49"/>
        <v/>
      </c>
    </row>
    <row r="372" spans="1:38" x14ac:dyDescent="0.3">
      <c r="A372" s="70"/>
      <c r="B372" s="71"/>
      <c r="C372" s="71"/>
      <c r="D372" s="71"/>
      <c r="E372" s="72"/>
      <c r="F372" s="73"/>
      <c r="G372" s="74"/>
      <c r="H372" s="75" t="str">
        <f t="shared" si="42"/>
        <v/>
      </c>
      <c r="I372" s="16" t="str">
        <f t="shared" si="43"/>
        <v/>
      </c>
      <c r="J372" s="76" t="str">
        <f t="shared" si="44"/>
        <v/>
      </c>
      <c r="K372" s="77" t="str">
        <f t="shared" si="45"/>
        <v/>
      </c>
      <c r="L372" s="78" t="str">
        <f t="shared" si="46"/>
        <v/>
      </c>
      <c r="M372" s="4"/>
      <c r="N372" s="79">
        <f>IF(OR($A372="",$B372=""),0,IF(COUNTIFS($A$5:$A372,$A372,$B$5:$B372,$B372)=1,1,0))</f>
        <v>0</v>
      </c>
      <c r="O372" s="79" t="str">
        <f t="shared" si="47"/>
        <v/>
      </c>
      <c r="P372" s="79" t="str">
        <f t="shared" si="48"/>
        <v/>
      </c>
      <c r="AL372" s="89" t="str">
        <f t="shared" ca="1" si="49"/>
        <v/>
      </c>
    </row>
    <row r="373" spans="1:38" x14ac:dyDescent="0.3">
      <c r="A373" s="70"/>
      <c r="B373" s="71"/>
      <c r="C373" s="71"/>
      <c r="D373" s="71"/>
      <c r="E373" s="72"/>
      <c r="F373" s="73"/>
      <c r="G373" s="74"/>
      <c r="H373" s="75" t="str">
        <f t="shared" si="42"/>
        <v/>
      </c>
      <c r="I373" s="16" t="str">
        <f t="shared" si="43"/>
        <v/>
      </c>
      <c r="J373" s="76" t="str">
        <f t="shared" si="44"/>
        <v/>
      </c>
      <c r="K373" s="77" t="str">
        <f t="shared" si="45"/>
        <v/>
      </c>
      <c r="L373" s="78" t="str">
        <f t="shared" si="46"/>
        <v/>
      </c>
      <c r="M373" s="4"/>
      <c r="N373" s="79">
        <f>IF(OR($A373="",$B373=""),0,IF(COUNTIFS($A$5:$A373,$A373,$B$5:$B373,$B373)=1,1,0))</f>
        <v>0</v>
      </c>
      <c r="O373" s="79" t="str">
        <f t="shared" si="47"/>
        <v/>
      </c>
      <c r="P373" s="79" t="str">
        <f t="shared" si="48"/>
        <v/>
      </c>
      <c r="AL373" s="89" t="str">
        <f t="shared" ca="1" si="49"/>
        <v/>
      </c>
    </row>
    <row r="374" spans="1:38" x14ac:dyDescent="0.3">
      <c r="A374" s="70"/>
      <c r="B374" s="71"/>
      <c r="C374" s="71"/>
      <c r="D374" s="71"/>
      <c r="E374" s="72"/>
      <c r="F374" s="73"/>
      <c r="G374" s="74"/>
      <c r="H374" s="75" t="str">
        <f t="shared" si="42"/>
        <v/>
      </c>
      <c r="I374" s="16" t="str">
        <f t="shared" si="43"/>
        <v/>
      </c>
      <c r="J374" s="76" t="str">
        <f t="shared" si="44"/>
        <v/>
      </c>
      <c r="K374" s="77" t="str">
        <f t="shared" si="45"/>
        <v/>
      </c>
      <c r="L374" s="78" t="str">
        <f t="shared" si="46"/>
        <v/>
      </c>
      <c r="M374" s="4"/>
      <c r="N374" s="79">
        <f>IF(OR($A374="",$B374=""),0,IF(COUNTIFS($A$5:$A374,$A374,$B$5:$B374,$B374)=1,1,0))</f>
        <v>0</v>
      </c>
      <c r="O374" s="79" t="str">
        <f t="shared" si="47"/>
        <v/>
      </c>
      <c r="P374" s="79" t="str">
        <f t="shared" si="48"/>
        <v/>
      </c>
      <c r="AL374" s="89" t="str">
        <f t="shared" ca="1" si="49"/>
        <v/>
      </c>
    </row>
    <row r="375" spans="1:38" x14ac:dyDescent="0.3">
      <c r="A375" s="70"/>
      <c r="B375" s="71"/>
      <c r="C375" s="71"/>
      <c r="D375" s="71"/>
      <c r="E375" s="72"/>
      <c r="F375" s="73"/>
      <c r="G375" s="74"/>
      <c r="H375" s="75" t="str">
        <f t="shared" si="42"/>
        <v/>
      </c>
      <c r="I375" s="16" t="str">
        <f t="shared" si="43"/>
        <v/>
      </c>
      <c r="J375" s="76" t="str">
        <f t="shared" si="44"/>
        <v/>
      </c>
      <c r="K375" s="77" t="str">
        <f t="shared" si="45"/>
        <v/>
      </c>
      <c r="L375" s="78" t="str">
        <f t="shared" si="46"/>
        <v/>
      </c>
      <c r="M375" s="4"/>
      <c r="N375" s="79">
        <f>IF(OR($A375="",$B375=""),0,IF(COUNTIFS($A$5:$A375,$A375,$B$5:$B375,$B375)=1,1,0))</f>
        <v>0</v>
      </c>
      <c r="O375" s="79" t="str">
        <f t="shared" si="47"/>
        <v/>
      </c>
      <c r="P375" s="79" t="str">
        <f t="shared" si="48"/>
        <v/>
      </c>
      <c r="AL375" s="89" t="str">
        <f t="shared" ca="1" si="49"/>
        <v/>
      </c>
    </row>
    <row r="376" spans="1:38" x14ac:dyDescent="0.3">
      <c r="A376" s="70"/>
      <c r="B376" s="71"/>
      <c r="C376" s="71"/>
      <c r="D376" s="71"/>
      <c r="E376" s="72"/>
      <c r="F376" s="73"/>
      <c r="G376" s="74"/>
      <c r="H376" s="75" t="str">
        <f t="shared" si="42"/>
        <v/>
      </c>
      <c r="I376" s="16" t="str">
        <f t="shared" si="43"/>
        <v/>
      </c>
      <c r="J376" s="76" t="str">
        <f t="shared" si="44"/>
        <v/>
      </c>
      <c r="K376" s="77" t="str">
        <f t="shared" si="45"/>
        <v/>
      </c>
      <c r="L376" s="78" t="str">
        <f t="shared" si="46"/>
        <v/>
      </c>
      <c r="M376" s="4"/>
      <c r="N376" s="79">
        <f>IF(OR($A376="",$B376=""),0,IF(COUNTIFS($A$5:$A376,$A376,$B$5:$B376,$B376)=1,1,0))</f>
        <v>0</v>
      </c>
      <c r="O376" s="79" t="str">
        <f t="shared" si="47"/>
        <v/>
      </c>
      <c r="P376" s="79" t="str">
        <f t="shared" si="48"/>
        <v/>
      </c>
      <c r="AL376" s="89" t="str">
        <f t="shared" ca="1" si="49"/>
        <v/>
      </c>
    </row>
    <row r="377" spans="1:38" x14ac:dyDescent="0.3">
      <c r="A377" s="70"/>
      <c r="B377" s="71"/>
      <c r="C377" s="71"/>
      <c r="D377" s="71"/>
      <c r="E377" s="72"/>
      <c r="F377" s="73"/>
      <c r="G377" s="74"/>
      <c r="H377" s="75" t="str">
        <f t="shared" si="42"/>
        <v/>
      </c>
      <c r="I377" s="16" t="str">
        <f t="shared" si="43"/>
        <v/>
      </c>
      <c r="J377" s="76" t="str">
        <f t="shared" si="44"/>
        <v/>
      </c>
      <c r="K377" s="77" t="str">
        <f t="shared" si="45"/>
        <v/>
      </c>
      <c r="L377" s="78" t="str">
        <f t="shared" si="46"/>
        <v/>
      </c>
      <c r="M377" s="4"/>
      <c r="N377" s="79">
        <f>IF(OR($A377="",$B377=""),0,IF(COUNTIFS($A$5:$A377,$A377,$B$5:$B377,$B377)=1,1,0))</f>
        <v>0</v>
      </c>
      <c r="O377" s="79" t="str">
        <f t="shared" si="47"/>
        <v/>
      </c>
      <c r="P377" s="79" t="str">
        <f t="shared" si="48"/>
        <v/>
      </c>
      <c r="AL377" s="89" t="str">
        <f t="shared" ca="1" si="49"/>
        <v/>
      </c>
    </row>
    <row r="378" spans="1:38" x14ac:dyDescent="0.3">
      <c r="A378" s="70"/>
      <c r="B378" s="71"/>
      <c r="C378" s="71"/>
      <c r="D378" s="71"/>
      <c r="E378" s="72"/>
      <c r="F378" s="73"/>
      <c r="G378" s="74"/>
      <c r="H378" s="75" t="str">
        <f t="shared" si="42"/>
        <v/>
      </c>
      <c r="I378" s="16" t="str">
        <f t="shared" si="43"/>
        <v/>
      </c>
      <c r="J378" s="76" t="str">
        <f t="shared" si="44"/>
        <v/>
      </c>
      <c r="K378" s="77" t="str">
        <f t="shared" si="45"/>
        <v/>
      </c>
      <c r="L378" s="78" t="str">
        <f t="shared" si="46"/>
        <v/>
      </c>
      <c r="M378" s="4"/>
      <c r="N378" s="79">
        <f>IF(OR($A378="",$B378=""),0,IF(COUNTIFS($A$5:$A378,$A378,$B$5:$B378,$B378)=1,1,0))</f>
        <v>0</v>
      </c>
      <c r="O378" s="79" t="str">
        <f t="shared" si="47"/>
        <v/>
      </c>
      <c r="P378" s="79" t="str">
        <f t="shared" si="48"/>
        <v/>
      </c>
      <c r="AL378" s="89" t="str">
        <f t="shared" ca="1" si="49"/>
        <v/>
      </c>
    </row>
    <row r="379" spans="1:38" x14ac:dyDescent="0.3">
      <c r="A379" s="70"/>
      <c r="B379" s="71"/>
      <c r="C379" s="71"/>
      <c r="D379" s="71"/>
      <c r="E379" s="72"/>
      <c r="F379" s="73"/>
      <c r="G379" s="74"/>
      <c r="H379" s="75" t="str">
        <f t="shared" si="42"/>
        <v/>
      </c>
      <c r="I379" s="16" t="str">
        <f t="shared" si="43"/>
        <v/>
      </c>
      <c r="J379" s="76" t="str">
        <f t="shared" si="44"/>
        <v/>
      </c>
      <c r="K379" s="77" t="str">
        <f t="shared" si="45"/>
        <v/>
      </c>
      <c r="L379" s="78" t="str">
        <f t="shared" si="46"/>
        <v/>
      </c>
      <c r="M379" s="4"/>
      <c r="N379" s="79">
        <f>IF(OR($A379="",$B379=""),0,IF(COUNTIFS($A$5:$A379,$A379,$B$5:$B379,$B379)=1,1,0))</f>
        <v>0</v>
      </c>
      <c r="O379" s="79" t="str">
        <f t="shared" si="47"/>
        <v/>
      </c>
      <c r="P379" s="79" t="str">
        <f t="shared" si="48"/>
        <v/>
      </c>
      <c r="AL379" s="89" t="str">
        <f t="shared" ca="1" si="49"/>
        <v/>
      </c>
    </row>
    <row r="380" spans="1:38" x14ac:dyDescent="0.3">
      <c r="A380" s="70"/>
      <c r="B380" s="71"/>
      <c r="C380" s="71"/>
      <c r="D380" s="71"/>
      <c r="E380" s="72"/>
      <c r="F380" s="73"/>
      <c r="G380" s="74"/>
      <c r="H380" s="75" t="str">
        <f t="shared" si="42"/>
        <v/>
      </c>
      <c r="I380" s="16" t="str">
        <f t="shared" si="43"/>
        <v/>
      </c>
      <c r="J380" s="76" t="str">
        <f t="shared" si="44"/>
        <v/>
      </c>
      <c r="K380" s="77" t="str">
        <f t="shared" si="45"/>
        <v/>
      </c>
      <c r="L380" s="78" t="str">
        <f t="shared" si="46"/>
        <v/>
      </c>
      <c r="M380" s="4"/>
      <c r="N380" s="79">
        <f>IF(OR($A380="",$B380=""),0,IF(COUNTIFS($A$5:$A380,$A380,$B$5:$B380,$B380)=1,1,0))</f>
        <v>0</v>
      </c>
      <c r="O380" s="79" t="str">
        <f t="shared" si="47"/>
        <v/>
      </c>
      <c r="P380" s="79" t="str">
        <f t="shared" si="48"/>
        <v/>
      </c>
      <c r="AL380" s="89" t="str">
        <f t="shared" ca="1" si="49"/>
        <v/>
      </c>
    </row>
    <row r="381" spans="1:38" x14ac:dyDescent="0.3">
      <c r="A381" s="70"/>
      <c r="B381" s="71"/>
      <c r="C381" s="71"/>
      <c r="D381" s="71"/>
      <c r="E381" s="72"/>
      <c r="F381" s="73"/>
      <c r="G381" s="74"/>
      <c r="H381" s="75" t="str">
        <f t="shared" si="42"/>
        <v/>
      </c>
      <c r="I381" s="16" t="str">
        <f t="shared" si="43"/>
        <v/>
      </c>
      <c r="J381" s="76" t="str">
        <f t="shared" si="44"/>
        <v/>
      </c>
      <c r="K381" s="77" t="str">
        <f t="shared" si="45"/>
        <v/>
      </c>
      <c r="L381" s="78" t="str">
        <f t="shared" si="46"/>
        <v/>
      </c>
      <c r="M381" s="4"/>
      <c r="N381" s="79">
        <f>IF(OR($A381="",$B381=""),0,IF(COUNTIFS($A$5:$A381,$A381,$B$5:$B381,$B381)=1,1,0))</f>
        <v>0</v>
      </c>
      <c r="O381" s="79" t="str">
        <f t="shared" si="47"/>
        <v/>
      </c>
      <c r="P381" s="79" t="str">
        <f t="shared" si="48"/>
        <v/>
      </c>
      <c r="AL381" s="89" t="str">
        <f t="shared" ca="1" si="49"/>
        <v/>
      </c>
    </row>
    <row r="382" spans="1:38" x14ac:dyDescent="0.3">
      <c r="A382" s="70"/>
      <c r="B382" s="71"/>
      <c r="C382" s="71"/>
      <c r="D382" s="71"/>
      <c r="E382" s="72"/>
      <c r="F382" s="73"/>
      <c r="G382" s="74"/>
      <c r="H382" s="75" t="str">
        <f t="shared" si="42"/>
        <v/>
      </c>
      <c r="I382" s="16" t="str">
        <f t="shared" si="43"/>
        <v/>
      </c>
      <c r="J382" s="76" t="str">
        <f t="shared" si="44"/>
        <v/>
      </c>
      <c r="K382" s="77" t="str">
        <f t="shared" si="45"/>
        <v/>
      </c>
      <c r="L382" s="78" t="str">
        <f t="shared" si="46"/>
        <v/>
      </c>
      <c r="M382" s="4"/>
      <c r="N382" s="79">
        <f>IF(OR($A382="",$B382=""),0,IF(COUNTIFS($A$5:$A382,$A382,$B$5:$B382,$B382)=1,1,0))</f>
        <v>0</v>
      </c>
      <c r="O382" s="79" t="str">
        <f t="shared" si="47"/>
        <v/>
      </c>
      <c r="P382" s="79" t="str">
        <f t="shared" si="48"/>
        <v/>
      </c>
      <c r="AL382" s="89" t="str">
        <f t="shared" ca="1" si="49"/>
        <v/>
      </c>
    </row>
    <row r="383" spans="1:38" x14ac:dyDescent="0.3">
      <c r="A383" s="70"/>
      <c r="B383" s="71"/>
      <c r="C383" s="71"/>
      <c r="D383" s="71"/>
      <c r="E383" s="72"/>
      <c r="F383" s="73"/>
      <c r="G383" s="74"/>
      <c r="H383" s="75" t="str">
        <f t="shared" si="42"/>
        <v/>
      </c>
      <c r="I383" s="16" t="str">
        <f t="shared" si="43"/>
        <v/>
      </c>
      <c r="J383" s="76" t="str">
        <f t="shared" si="44"/>
        <v/>
      </c>
      <c r="K383" s="77" t="str">
        <f t="shared" si="45"/>
        <v/>
      </c>
      <c r="L383" s="78" t="str">
        <f t="shared" si="46"/>
        <v/>
      </c>
      <c r="M383" s="4"/>
      <c r="N383" s="79">
        <f>IF(OR($A383="",$B383=""),0,IF(COUNTIFS($A$5:$A383,$A383,$B$5:$B383,$B383)=1,1,0))</f>
        <v>0</v>
      </c>
      <c r="O383" s="79" t="str">
        <f t="shared" si="47"/>
        <v/>
      </c>
      <c r="P383" s="79" t="str">
        <f t="shared" si="48"/>
        <v/>
      </c>
      <c r="AL383" s="89" t="str">
        <f t="shared" ca="1" si="49"/>
        <v/>
      </c>
    </row>
    <row r="384" spans="1:38" x14ac:dyDescent="0.3">
      <c r="A384" s="70"/>
      <c r="B384" s="71"/>
      <c r="C384" s="71"/>
      <c r="D384" s="71"/>
      <c r="E384" s="72"/>
      <c r="F384" s="73"/>
      <c r="G384" s="74"/>
      <c r="H384" s="75" t="str">
        <f t="shared" si="42"/>
        <v/>
      </c>
      <c r="I384" s="16" t="str">
        <f t="shared" si="43"/>
        <v/>
      </c>
      <c r="J384" s="76" t="str">
        <f t="shared" si="44"/>
        <v/>
      </c>
      <c r="K384" s="77" t="str">
        <f t="shared" si="45"/>
        <v/>
      </c>
      <c r="L384" s="78" t="str">
        <f t="shared" si="46"/>
        <v/>
      </c>
      <c r="M384" s="4"/>
      <c r="N384" s="79">
        <f>IF(OR($A384="",$B384=""),0,IF(COUNTIFS($A$5:$A384,$A384,$B$5:$B384,$B384)=1,1,0))</f>
        <v>0</v>
      </c>
      <c r="O384" s="79" t="str">
        <f t="shared" si="47"/>
        <v/>
      </c>
      <c r="P384" s="79" t="str">
        <f t="shared" si="48"/>
        <v/>
      </c>
      <c r="AL384" s="89" t="str">
        <f t="shared" ca="1" si="49"/>
        <v/>
      </c>
    </row>
    <row r="385" spans="1:38" x14ac:dyDescent="0.3">
      <c r="A385" s="70"/>
      <c r="B385" s="71"/>
      <c r="C385" s="71"/>
      <c r="D385" s="71"/>
      <c r="E385" s="72"/>
      <c r="F385" s="73"/>
      <c r="G385" s="74"/>
      <c r="H385" s="75" t="str">
        <f t="shared" si="42"/>
        <v/>
      </c>
      <c r="I385" s="16" t="str">
        <f t="shared" si="43"/>
        <v/>
      </c>
      <c r="J385" s="76" t="str">
        <f t="shared" si="44"/>
        <v/>
      </c>
      <c r="K385" s="77" t="str">
        <f t="shared" si="45"/>
        <v/>
      </c>
      <c r="L385" s="78" t="str">
        <f t="shared" si="46"/>
        <v/>
      </c>
      <c r="M385" s="4"/>
      <c r="N385" s="79">
        <f>IF(OR($A385="",$B385=""),0,IF(COUNTIFS($A$5:$A385,$A385,$B$5:$B385,$B385)=1,1,0))</f>
        <v>0</v>
      </c>
      <c r="O385" s="79" t="str">
        <f t="shared" si="47"/>
        <v/>
      </c>
      <c r="P385" s="79" t="str">
        <f t="shared" si="48"/>
        <v/>
      </c>
      <c r="AL385" s="89" t="str">
        <f t="shared" ca="1" si="49"/>
        <v/>
      </c>
    </row>
    <row r="386" spans="1:38" x14ac:dyDescent="0.3">
      <c r="A386" s="70"/>
      <c r="B386" s="71"/>
      <c r="C386" s="71"/>
      <c r="D386" s="71"/>
      <c r="E386" s="72"/>
      <c r="F386" s="73"/>
      <c r="G386" s="74"/>
      <c r="H386" s="75" t="str">
        <f t="shared" si="42"/>
        <v/>
      </c>
      <c r="I386" s="16" t="str">
        <f t="shared" si="43"/>
        <v/>
      </c>
      <c r="J386" s="76" t="str">
        <f t="shared" si="44"/>
        <v/>
      </c>
      <c r="K386" s="77" t="str">
        <f t="shared" si="45"/>
        <v/>
      </c>
      <c r="L386" s="78" t="str">
        <f t="shared" si="46"/>
        <v/>
      </c>
      <c r="M386" s="4"/>
      <c r="N386" s="79">
        <f>IF(OR($A386="",$B386=""),0,IF(COUNTIFS($A$5:$A386,$A386,$B$5:$B386,$B386)=1,1,0))</f>
        <v>0</v>
      </c>
      <c r="O386" s="79" t="str">
        <f t="shared" si="47"/>
        <v/>
      </c>
      <c r="P386" s="79" t="str">
        <f t="shared" si="48"/>
        <v/>
      </c>
      <c r="AL386" s="89" t="str">
        <f t="shared" ca="1" si="49"/>
        <v/>
      </c>
    </row>
    <row r="387" spans="1:38" x14ac:dyDescent="0.3">
      <c r="A387" s="70"/>
      <c r="B387" s="71"/>
      <c r="C387" s="71"/>
      <c r="D387" s="71"/>
      <c r="E387" s="72"/>
      <c r="F387" s="73"/>
      <c r="G387" s="74"/>
      <c r="H387" s="75" t="str">
        <f t="shared" si="42"/>
        <v/>
      </c>
      <c r="I387" s="16" t="str">
        <f t="shared" si="43"/>
        <v/>
      </c>
      <c r="J387" s="76" t="str">
        <f t="shared" si="44"/>
        <v/>
      </c>
      <c r="K387" s="77" t="str">
        <f t="shared" si="45"/>
        <v/>
      </c>
      <c r="L387" s="78" t="str">
        <f t="shared" si="46"/>
        <v/>
      </c>
      <c r="M387" s="4"/>
      <c r="N387" s="79">
        <f>IF(OR($A387="",$B387=""),0,IF(COUNTIFS($A$5:$A387,$A387,$B$5:$B387,$B387)=1,1,0))</f>
        <v>0</v>
      </c>
      <c r="O387" s="79" t="str">
        <f t="shared" si="47"/>
        <v/>
      </c>
      <c r="P387" s="79" t="str">
        <f t="shared" si="48"/>
        <v/>
      </c>
      <c r="AL387" s="89" t="str">
        <f t="shared" ca="1" si="49"/>
        <v/>
      </c>
    </row>
    <row r="388" spans="1:38" x14ac:dyDescent="0.3">
      <c r="A388" s="70"/>
      <c r="B388" s="71"/>
      <c r="C388" s="71"/>
      <c r="D388" s="71"/>
      <c r="E388" s="72"/>
      <c r="F388" s="73"/>
      <c r="G388" s="74"/>
      <c r="H388" s="75" t="str">
        <f t="shared" si="42"/>
        <v/>
      </c>
      <c r="I388" s="16" t="str">
        <f t="shared" si="43"/>
        <v/>
      </c>
      <c r="J388" s="76" t="str">
        <f t="shared" si="44"/>
        <v/>
      </c>
      <c r="K388" s="77" t="str">
        <f t="shared" si="45"/>
        <v/>
      </c>
      <c r="L388" s="78" t="str">
        <f t="shared" si="46"/>
        <v/>
      </c>
      <c r="M388" s="4"/>
      <c r="N388" s="79">
        <f>IF(OR($A388="",$B388=""),0,IF(COUNTIFS($A$5:$A388,$A388,$B$5:$B388,$B388)=1,1,0))</f>
        <v>0</v>
      </c>
      <c r="O388" s="79" t="str">
        <f t="shared" si="47"/>
        <v/>
      </c>
      <c r="P388" s="79" t="str">
        <f t="shared" si="48"/>
        <v/>
      </c>
      <c r="AL388" s="89" t="str">
        <f t="shared" ca="1" si="49"/>
        <v/>
      </c>
    </row>
    <row r="389" spans="1:38" x14ac:dyDescent="0.3">
      <c r="A389" s="70"/>
      <c r="B389" s="71"/>
      <c r="C389" s="71"/>
      <c r="D389" s="71"/>
      <c r="E389" s="72"/>
      <c r="F389" s="73"/>
      <c r="G389" s="74"/>
      <c r="H389" s="75" t="str">
        <f t="shared" ref="H389:H452" si="50">IF(OR($A389="",$B389="",$I389=""),"",SUMPRODUCT(($A$5:$A$604=$A389)*($B$5:$B$604=$B389)*($I$5:$I$604&lt;&gt;"")*($I$5:$I$604&lt;$I389))+SUMPRODUCT(($A$5:$A$604=$A389)*($B$5:$B$604=$B389)*($I$5:$I$604=$I389)*(ROW($I$5:$I$604)&lt;=ROW($I389))))</f>
        <v/>
      </c>
      <c r="I389" s="16" t="str">
        <f t="shared" ref="I389:I452" si="51">IF(TRIM($C389&amp;$D389)="","",PROPER(TRIM($C389))&amp;" "&amp;UPPER(TRIM($D389)))</f>
        <v/>
      </c>
      <c r="J389" s="76" t="str">
        <f t="shared" ref="J389:J452" si="52">IF(OR($A389="",$B389="",$H389=""),"",$A389&amp;"|"&amp;$B389&amp;"|"&amp;$H389)</f>
        <v/>
      </c>
      <c r="K389" s="77" t="str">
        <f t="shared" ref="K389:K452" si="53">IF(COUNTA($A389:$E389)=0,"",IF($A389="","← Nurodykite lygą (A / B / C)",IF($B389="","← Nurodykite komandą",IF(TRIM($C389)="","← Nurodykite vardą",IF(TRIM($D389)="","← Nurodykite pavardę",IF(NOT(ISNUMBER($E389)),"← Nurodykite Hcp (jei neturi – 0)",IF(AND(OR($A389="B",$A389="C"),NOT(OR($F389="Rytai",$F389="Vakarai"))),"← Nurodykite pogrupį (Rytai / Vakarai)",IF(AND($A389="A",OR($F389="Rytai",$F389="Vakarai")),"← A lygos komandos į pogrupius neskirstomos",IF(COUNTIFS($A$5:$A$604,$A389,$B$5:$B$604,$B389,$F$5:$F$604,"&lt;&gt;"&amp;$F389)&gt;0,"← Šios komandos pogrupis nurodytas nevienodai",IF($H389&gt;8,"← Šioje komandoje jau daugiau nei 8 žaidėjai",""))))))))))</f>
        <v/>
      </c>
      <c r="L389" s="78" t="str">
        <f t="shared" ref="L389:L452" si="54">IF($I389="","",IF(COUNTIF($I$5:$I$604,$I389)&gt;1,"ℹ tokių pačių vardų sąraše: "&amp;COUNTIF($I$5:$I$604,$I389),IF(AND($B389&lt;&gt;"",COUNTIFS($A$5:$A$604,$A389,$B$5:$B$604,$B389)&lt;3),"ℹ šioje komandoje tik "&amp;COUNTIFS($A$5:$A$604,$A389,$B$5:$B$604,$B389)&amp;" žaid. – ar ne rašybos klaida?","")))</f>
        <v/>
      </c>
      <c r="M389" s="4"/>
      <c r="N389" s="79">
        <f>IF(OR($A389="",$B389=""),0,IF(COUNTIFS($A$5:$A389,$A389,$B$5:$B389,$B389)=1,1,0))</f>
        <v>0</v>
      </c>
      <c r="O389" s="79" t="str">
        <f t="shared" ref="O389:O452" si="55">IF($N389&lt;&gt;1,"",1+SUMPRODUCT(($A$5:$A$604=$A389)*($B$5:$B$604&lt;$B389)*($N$5:$N$604=1)))</f>
        <v/>
      </c>
      <c r="P389" s="79" t="str">
        <f t="shared" ref="P389:P452" si="56">IF(OR($N389&lt;&gt;1,$A389&lt;&gt;Lyga,AND(Pogrupis&lt;&gt;"",$F389&lt;&gt;Pogrupis)),"",1+SUMPRODUCT(($A$5:$A$604=Lyga)*($N$5:$N$604=1)*($B$5:$B$604&lt;$B389)*((($F$5:$F$604=Pogrupis)+(Pogrupis=""))&gt;0)))</f>
        <v/>
      </c>
      <c r="AL389" s="89" t="str">
        <f t="shared" ref="AL389:AL452" ca="1" si="57">IF(NOT(OR($A389="A",$A389="B",$A389="C")),"","ADMIN_Duomenys!$"&amp;IF($A389="A","W",IF($A389="B","Y","AA"))&amp;"$5:$"&amp;IF($A389="A","W",IF($A389="B","Y","AA"))&amp;"$"&amp;(4+MAX(1,COUNTIF(INDIRECT("ADMIN_Duomenys!$"&amp;IF($A389="A","W",IF($A389="B","Y","AA"))&amp;"$5:$"&amp;IF($A389="A","W",IF($A389="B","Y","AA"))&amp;"$44"),"?*"))))</f>
        <v/>
      </c>
    </row>
    <row r="390" spans="1:38" x14ac:dyDescent="0.3">
      <c r="A390" s="70"/>
      <c r="B390" s="71"/>
      <c r="C390" s="71"/>
      <c r="D390" s="71"/>
      <c r="E390" s="72"/>
      <c r="F390" s="73"/>
      <c r="G390" s="74"/>
      <c r="H390" s="75" t="str">
        <f t="shared" si="50"/>
        <v/>
      </c>
      <c r="I390" s="16" t="str">
        <f t="shared" si="51"/>
        <v/>
      </c>
      <c r="J390" s="76" t="str">
        <f t="shared" si="52"/>
        <v/>
      </c>
      <c r="K390" s="77" t="str">
        <f t="shared" si="53"/>
        <v/>
      </c>
      <c r="L390" s="78" t="str">
        <f t="shared" si="54"/>
        <v/>
      </c>
      <c r="M390" s="4"/>
      <c r="N390" s="79">
        <f>IF(OR($A390="",$B390=""),0,IF(COUNTIFS($A$5:$A390,$A390,$B$5:$B390,$B390)=1,1,0))</f>
        <v>0</v>
      </c>
      <c r="O390" s="79" t="str">
        <f t="shared" si="55"/>
        <v/>
      </c>
      <c r="P390" s="79" t="str">
        <f t="shared" si="56"/>
        <v/>
      </c>
      <c r="AL390" s="89" t="str">
        <f t="shared" ca="1" si="57"/>
        <v/>
      </c>
    </row>
    <row r="391" spans="1:38" x14ac:dyDescent="0.3">
      <c r="A391" s="70"/>
      <c r="B391" s="71"/>
      <c r="C391" s="71"/>
      <c r="D391" s="71"/>
      <c r="E391" s="72"/>
      <c r="F391" s="73"/>
      <c r="G391" s="74"/>
      <c r="H391" s="75" t="str">
        <f t="shared" si="50"/>
        <v/>
      </c>
      <c r="I391" s="16" t="str">
        <f t="shared" si="51"/>
        <v/>
      </c>
      <c r="J391" s="76" t="str">
        <f t="shared" si="52"/>
        <v/>
      </c>
      <c r="K391" s="77" t="str">
        <f t="shared" si="53"/>
        <v/>
      </c>
      <c r="L391" s="78" t="str">
        <f t="shared" si="54"/>
        <v/>
      </c>
      <c r="M391" s="4"/>
      <c r="N391" s="79">
        <f>IF(OR($A391="",$B391=""),0,IF(COUNTIFS($A$5:$A391,$A391,$B$5:$B391,$B391)=1,1,0))</f>
        <v>0</v>
      </c>
      <c r="O391" s="79" t="str">
        <f t="shared" si="55"/>
        <v/>
      </c>
      <c r="P391" s="79" t="str">
        <f t="shared" si="56"/>
        <v/>
      </c>
      <c r="AL391" s="89" t="str">
        <f t="shared" ca="1" si="57"/>
        <v/>
      </c>
    </row>
    <row r="392" spans="1:38" x14ac:dyDescent="0.3">
      <c r="A392" s="70"/>
      <c r="B392" s="71"/>
      <c r="C392" s="71"/>
      <c r="D392" s="71"/>
      <c r="E392" s="72"/>
      <c r="F392" s="73"/>
      <c r="G392" s="74"/>
      <c r="H392" s="75" t="str">
        <f t="shared" si="50"/>
        <v/>
      </c>
      <c r="I392" s="16" t="str">
        <f t="shared" si="51"/>
        <v/>
      </c>
      <c r="J392" s="76" t="str">
        <f t="shared" si="52"/>
        <v/>
      </c>
      <c r="K392" s="77" t="str">
        <f t="shared" si="53"/>
        <v/>
      </c>
      <c r="L392" s="78" t="str">
        <f t="shared" si="54"/>
        <v/>
      </c>
      <c r="M392" s="4"/>
      <c r="N392" s="79">
        <f>IF(OR($A392="",$B392=""),0,IF(COUNTIFS($A$5:$A392,$A392,$B$5:$B392,$B392)=1,1,0))</f>
        <v>0</v>
      </c>
      <c r="O392" s="79" t="str">
        <f t="shared" si="55"/>
        <v/>
      </c>
      <c r="P392" s="79" t="str">
        <f t="shared" si="56"/>
        <v/>
      </c>
      <c r="AL392" s="89" t="str">
        <f t="shared" ca="1" si="57"/>
        <v/>
      </c>
    </row>
    <row r="393" spans="1:38" x14ac:dyDescent="0.3">
      <c r="A393" s="70"/>
      <c r="B393" s="71"/>
      <c r="C393" s="71"/>
      <c r="D393" s="71"/>
      <c r="E393" s="72"/>
      <c r="F393" s="73"/>
      <c r="G393" s="74"/>
      <c r="H393" s="75" t="str">
        <f t="shared" si="50"/>
        <v/>
      </c>
      <c r="I393" s="16" t="str">
        <f t="shared" si="51"/>
        <v/>
      </c>
      <c r="J393" s="76" t="str">
        <f t="shared" si="52"/>
        <v/>
      </c>
      <c r="K393" s="77" t="str">
        <f t="shared" si="53"/>
        <v/>
      </c>
      <c r="L393" s="78" t="str">
        <f t="shared" si="54"/>
        <v/>
      </c>
      <c r="M393" s="4"/>
      <c r="N393" s="79">
        <f>IF(OR($A393="",$B393=""),0,IF(COUNTIFS($A$5:$A393,$A393,$B$5:$B393,$B393)=1,1,0))</f>
        <v>0</v>
      </c>
      <c r="O393" s="79" t="str">
        <f t="shared" si="55"/>
        <v/>
      </c>
      <c r="P393" s="79" t="str">
        <f t="shared" si="56"/>
        <v/>
      </c>
      <c r="AL393" s="89" t="str">
        <f t="shared" ca="1" si="57"/>
        <v/>
      </c>
    </row>
    <row r="394" spans="1:38" x14ac:dyDescent="0.3">
      <c r="A394" s="70"/>
      <c r="B394" s="71"/>
      <c r="C394" s="71"/>
      <c r="D394" s="71"/>
      <c r="E394" s="72"/>
      <c r="F394" s="73"/>
      <c r="G394" s="74"/>
      <c r="H394" s="75" t="str">
        <f t="shared" si="50"/>
        <v/>
      </c>
      <c r="I394" s="16" t="str">
        <f t="shared" si="51"/>
        <v/>
      </c>
      <c r="J394" s="76" t="str">
        <f t="shared" si="52"/>
        <v/>
      </c>
      <c r="K394" s="77" t="str">
        <f t="shared" si="53"/>
        <v/>
      </c>
      <c r="L394" s="78" t="str">
        <f t="shared" si="54"/>
        <v/>
      </c>
      <c r="M394" s="4"/>
      <c r="N394" s="79">
        <f>IF(OR($A394="",$B394=""),0,IF(COUNTIFS($A$5:$A394,$A394,$B$5:$B394,$B394)=1,1,0))</f>
        <v>0</v>
      </c>
      <c r="O394" s="79" t="str">
        <f t="shared" si="55"/>
        <v/>
      </c>
      <c r="P394" s="79" t="str">
        <f t="shared" si="56"/>
        <v/>
      </c>
      <c r="AL394" s="89" t="str">
        <f t="shared" ca="1" si="57"/>
        <v/>
      </c>
    </row>
    <row r="395" spans="1:38" x14ac:dyDescent="0.3">
      <c r="A395" s="70"/>
      <c r="B395" s="71"/>
      <c r="C395" s="71"/>
      <c r="D395" s="71"/>
      <c r="E395" s="72"/>
      <c r="F395" s="73"/>
      <c r="G395" s="74"/>
      <c r="H395" s="75" t="str">
        <f t="shared" si="50"/>
        <v/>
      </c>
      <c r="I395" s="16" t="str">
        <f t="shared" si="51"/>
        <v/>
      </c>
      <c r="J395" s="76" t="str">
        <f t="shared" si="52"/>
        <v/>
      </c>
      <c r="K395" s="77" t="str">
        <f t="shared" si="53"/>
        <v/>
      </c>
      <c r="L395" s="78" t="str">
        <f t="shared" si="54"/>
        <v/>
      </c>
      <c r="M395" s="4"/>
      <c r="N395" s="79">
        <f>IF(OR($A395="",$B395=""),0,IF(COUNTIFS($A$5:$A395,$A395,$B$5:$B395,$B395)=1,1,0))</f>
        <v>0</v>
      </c>
      <c r="O395" s="79" t="str">
        <f t="shared" si="55"/>
        <v/>
      </c>
      <c r="P395" s="79" t="str">
        <f t="shared" si="56"/>
        <v/>
      </c>
      <c r="AL395" s="89" t="str">
        <f t="shared" ca="1" si="57"/>
        <v/>
      </c>
    </row>
    <row r="396" spans="1:38" x14ac:dyDescent="0.3">
      <c r="A396" s="70"/>
      <c r="B396" s="71"/>
      <c r="C396" s="71"/>
      <c r="D396" s="71"/>
      <c r="E396" s="72"/>
      <c r="F396" s="73"/>
      <c r="G396" s="74"/>
      <c r="H396" s="75" t="str">
        <f t="shared" si="50"/>
        <v/>
      </c>
      <c r="I396" s="16" t="str">
        <f t="shared" si="51"/>
        <v/>
      </c>
      <c r="J396" s="76" t="str">
        <f t="shared" si="52"/>
        <v/>
      </c>
      <c r="K396" s="77" t="str">
        <f t="shared" si="53"/>
        <v/>
      </c>
      <c r="L396" s="78" t="str">
        <f t="shared" si="54"/>
        <v/>
      </c>
      <c r="M396" s="4"/>
      <c r="N396" s="79">
        <f>IF(OR($A396="",$B396=""),0,IF(COUNTIFS($A$5:$A396,$A396,$B$5:$B396,$B396)=1,1,0))</f>
        <v>0</v>
      </c>
      <c r="O396" s="79" t="str">
        <f t="shared" si="55"/>
        <v/>
      </c>
      <c r="P396" s="79" t="str">
        <f t="shared" si="56"/>
        <v/>
      </c>
      <c r="AL396" s="89" t="str">
        <f t="shared" ca="1" si="57"/>
        <v/>
      </c>
    </row>
    <row r="397" spans="1:38" x14ac:dyDescent="0.3">
      <c r="A397" s="70"/>
      <c r="B397" s="71"/>
      <c r="C397" s="71"/>
      <c r="D397" s="71"/>
      <c r="E397" s="72"/>
      <c r="F397" s="73"/>
      <c r="G397" s="74"/>
      <c r="H397" s="75" t="str">
        <f t="shared" si="50"/>
        <v/>
      </c>
      <c r="I397" s="16" t="str">
        <f t="shared" si="51"/>
        <v/>
      </c>
      <c r="J397" s="76" t="str">
        <f t="shared" si="52"/>
        <v/>
      </c>
      <c r="K397" s="77" t="str">
        <f t="shared" si="53"/>
        <v/>
      </c>
      <c r="L397" s="78" t="str">
        <f t="shared" si="54"/>
        <v/>
      </c>
      <c r="M397" s="4"/>
      <c r="N397" s="79">
        <f>IF(OR($A397="",$B397=""),0,IF(COUNTIFS($A$5:$A397,$A397,$B$5:$B397,$B397)=1,1,0))</f>
        <v>0</v>
      </c>
      <c r="O397" s="79" t="str">
        <f t="shared" si="55"/>
        <v/>
      </c>
      <c r="P397" s="79" t="str">
        <f t="shared" si="56"/>
        <v/>
      </c>
      <c r="AL397" s="89" t="str">
        <f t="shared" ca="1" si="57"/>
        <v/>
      </c>
    </row>
    <row r="398" spans="1:38" x14ac:dyDescent="0.3">
      <c r="A398" s="70"/>
      <c r="B398" s="71"/>
      <c r="C398" s="71"/>
      <c r="D398" s="71"/>
      <c r="E398" s="72"/>
      <c r="F398" s="73"/>
      <c r="G398" s="74"/>
      <c r="H398" s="75" t="str">
        <f t="shared" si="50"/>
        <v/>
      </c>
      <c r="I398" s="16" t="str">
        <f t="shared" si="51"/>
        <v/>
      </c>
      <c r="J398" s="76" t="str">
        <f t="shared" si="52"/>
        <v/>
      </c>
      <c r="K398" s="77" t="str">
        <f t="shared" si="53"/>
        <v/>
      </c>
      <c r="L398" s="78" t="str">
        <f t="shared" si="54"/>
        <v/>
      </c>
      <c r="M398" s="4"/>
      <c r="N398" s="79">
        <f>IF(OR($A398="",$B398=""),0,IF(COUNTIFS($A$5:$A398,$A398,$B$5:$B398,$B398)=1,1,0))</f>
        <v>0</v>
      </c>
      <c r="O398" s="79" t="str">
        <f t="shared" si="55"/>
        <v/>
      </c>
      <c r="P398" s="79" t="str">
        <f t="shared" si="56"/>
        <v/>
      </c>
      <c r="AL398" s="89" t="str">
        <f t="shared" ca="1" si="57"/>
        <v/>
      </c>
    </row>
    <row r="399" spans="1:38" x14ac:dyDescent="0.3">
      <c r="A399" s="70"/>
      <c r="B399" s="71"/>
      <c r="C399" s="71"/>
      <c r="D399" s="71"/>
      <c r="E399" s="72"/>
      <c r="F399" s="73"/>
      <c r="G399" s="74"/>
      <c r="H399" s="75" t="str">
        <f t="shared" si="50"/>
        <v/>
      </c>
      <c r="I399" s="16" t="str">
        <f t="shared" si="51"/>
        <v/>
      </c>
      <c r="J399" s="76" t="str">
        <f t="shared" si="52"/>
        <v/>
      </c>
      <c r="K399" s="77" t="str">
        <f t="shared" si="53"/>
        <v/>
      </c>
      <c r="L399" s="78" t="str">
        <f t="shared" si="54"/>
        <v/>
      </c>
      <c r="M399" s="4"/>
      <c r="N399" s="79">
        <f>IF(OR($A399="",$B399=""),0,IF(COUNTIFS($A$5:$A399,$A399,$B$5:$B399,$B399)=1,1,0))</f>
        <v>0</v>
      </c>
      <c r="O399" s="79" t="str">
        <f t="shared" si="55"/>
        <v/>
      </c>
      <c r="P399" s="79" t="str">
        <f t="shared" si="56"/>
        <v/>
      </c>
      <c r="AL399" s="89" t="str">
        <f t="shared" ca="1" si="57"/>
        <v/>
      </c>
    </row>
    <row r="400" spans="1:38" x14ac:dyDescent="0.3">
      <c r="A400" s="70"/>
      <c r="B400" s="71"/>
      <c r="C400" s="71"/>
      <c r="D400" s="71"/>
      <c r="E400" s="72"/>
      <c r="F400" s="73"/>
      <c r="G400" s="74"/>
      <c r="H400" s="75" t="str">
        <f t="shared" si="50"/>
        <v/>
      </c>
      <c r="I400" s="16" t="str">
        <f t="shared" si="51"/>
        <v/>
      </c>
      <c r="J400" s="76" t="str">
        <f t="shared" si="52"/>
        <v/>
      </c>
      <c r="K400" s="77" t="str">
        <f t="shared" si="53"/>
        <v/>
      </c>
      <c r="L400" s="78" t="str">
        <f t="shared" si="54"/>
        <v/>
      </c>
      <c r="M400" s="4"/>
      <c r="N400" s="79">
        <f>IF(OR($A400="",$B400=""),0,IF(COUNTIFS($A$5:$A400,$A400,$B$5:$B400,$B400)=1,1,0))</f>
        <v>0</v>
      </c>
      <c r="O400" s="79" t="str">
        <f t="shared" si="55"/>
        <v/>
      </c>
      <c r="P400" s="79" t="str">
        <f t="shared" si="56"/>
        <v/>
      </c>
      <c r="AL400" s="89" t="str">
        <f t="shared" ca="1" si="57"/>
        <v/>
      </c>
    </row>
    <row r="401" spans="1:38" x14ac:dyDescent="0.3">
      <c r="A401" s="70"/>
      <c r="B401" s="71"/>
      <c r="C401" s="71"/>
      <c r="D401" s="71"/>
      <c r="E401" s="72"/>
      <c r="F401" s="73"/>
      <c r="G401" s="74"/>
      <c r="H401" s="75" t="str">
        <f t="shared" si="50"/>
        <v/>
      </c>
      <c r="I401" s="16" t="str">
        <f t="shared" si="51"/>
        <v/>
      </c>
      <c r="J401" s="76" t="str">
        <f t="shared" si="52"/>
        <v/>
      </c>
      <c r="K401" s="77" t="str">
        <f t="shared" si="53"/>
        <v/>
      </c>
      <c r="L401" s="78" t="str">
        <f t="shared" si="54"/>
        <v/>
      </c>
      <c r="M401" s="4"/>
      <c r="N401" s="79">
        <f>IF(OR($A401="",$B401=""),0,IF(COUNTIFS($A$5:$A401,$A401,$B$5:$B401,$B401)=1,1,0))</f>
        <v>0</v>
      </c>
      <c r="O401" s="79" t="str">
        <f t="shared" si="55"/>
        <v/>
      </c>
      <c r="P401" s="79" t="str">
        <f t="shared" si="56"/>
        <v/>
      </c>
      <c r="AL401" s="89" t="str">
        <f t="shared" ca="1" si="57"/>
        <v/>
      </c>
    </row>
    <row r="402" spans="1:38" x14ac:dyDescent="0.3">
      <c r="A402" s="70"/>
      <c r="B402" s="71"/>
      <c r="C402" s="71"/>
      <c r="D402" s="71"/>
      <c r="E402" s="72"/>
      <c r="F402" s="73"/>
      <c r="G402" s="74"/>
      <c r="H402" s="75" t="str">
        <f t="shared" si="50"/>
        <v/>
      </c>
      <c r="I402" s="16" t="str">
        <f t="shared" si="51"/>
        <v/>
      </c>
      <c r="J402" s="76" t="str">
        <f t="shared" si="52"/>
        <v/>
      </c>
      <c r="K402" s="77" t="str">
        <f t="shared" si="53"/>
        <v/>
      </c>
      <c r="L402" s="78" t="str">
        <f t="shared" si="54"/>
        <v/>
      </c>
      <c r="M402" s="4"/>
      <c r="N402" s="79">
        <f>IF(OR($A402="",$B402=""),0,IF(COUNTIFS($A$5:$A402,$A402,$B$5:$B402,$B402)=1,1,0))</f>
        <v>0</v>
      </c>
      <c r="O402" s="79" t="str">
        <f t="shared" si="55"/>
        <v/>
      </c>
      <c r="P402" s="79" t="str">
        <f t="shared" si="56"/>
        <v/>
      </c>
      <c r="AL402" s="89" t="str">
        <f t="shared" ca="1" si="57"/>
        <v/>
      </c>
    </row>
    <row r="403" spans="1:38" x14ac:dyDescent="0.3">
      <c r="A403" s="70"/>
      <c r="B403" s="71"/>
      <c r="C403" s="71"/>
      <c r="D403" s="71"/>
      <c r="E403" s="72"/>
      <c r="F403" s="73"/>
      <c r="G403" s="74"/>
      <c r="H403" s="75" t="str">
        <f t="shared" si="50"/>
        <v/>
      </c>
      <c r="I403" s="16" t="str">
        <f t="shared" si="51"/>
        <v/>
      </c>
      <c r="J403" s="76" t="str">
        <f t="shared" si="52"/>
        <v/>
      </c>
      <c r="K403" s="77" t="str">
        <f t="shared" si="53"/>
        <v/>
      </c>
      <c r="L403" s="78" t="str">
        <f t="shared" si="54"/>
        <v/>
      </c>
      <c r="M403" s="4"/>
      <c r="N403" s="79">
        <f>IF(OR($A403="",$B403=""),0,IF(COUNTIFS($A$5:$A403,$A403,$B$5:$B403,$B403)=1,1,0))</f>
        <v>0</v>
      </c>
      <c r="O403" s="79" t="str">
        <f t="shared" si="55"/>
        <v/>
      </c>
      <c r="P403" s="79" t="str">
        <f t="shared" si="56"/>
        <v/>
      </c>
      <c r="AL403" s="89" t="str">
        <f t="shared" ca="1" si="57"/>
        <v/>
      </c>
    </row>
    <row r="404" spans="1:38" x14ac:dyDescent="0.3">
      <c r="A404" s="70"/>
      <c r="B404" s="71"/>
      <c r="C404" s="71"/>
      <c r="D404" s="71"/>
      <c r="E404" s="72"/>
      <c r="F404" s="73"/>
      <c r="G404" s="74"/>
      <c r="H404" s="75" t="str">
        <f t="shared" si="50"/>
        <v/>
      </c>
      <c r="I404" s="16" t="str">
        <f t="shared" si="51"/>
        <v/>
      </c>
      <c r="J404" s="76" t="str">
        <f t="shared" si="52"/>
        <v/>
      </c>
      <c r="K404" s="77" t="str">
        <f t="shared" si="53"/>
        <v/>
      </c>
      <c r="L404" s="78" t="str">
        <f t="shared" si="54"/>
        <v/>
      </c>
      <c r="M404" s="4"/>
      <c r="N404" s="79">
        <f>IF(OR($A404="",$B404=""),0,IF(COUNTIFS($A$5:$A404,$A404,$B$5:$B404,$B404)=1,1,0))</f>
        <v>0</v>
      </c>
      <c r="O404" s="79" t="str">
        <f t="shared" si="55"/>
        <v/>
      </c>
      <c r="P404" s="79" t="str">
        <f t="shared" si="56"/>
        <v/>
      </c>
      <c r="AL404" s="89" t="str">
        <f t="shared" ca="1" si="57"/>
        <v/>
      </c>
    </row>
    <row r="405" spans="1:38" x14ac:dyDescent="0.3">
      <c r="A405" s="70"/>
      <c r="B405" s="71"/>
      <c r="C405" s="71"/>
      <c r="D405" s="71"/>
      <c r="E405" s="72"/>
      <c r="F405" s="73"/>
      <c r="G405" s="74"/>
      <c r="H405" s="75" t="str">
        <f t="shared" si="50"/>
        <v/>
      </c>
      <c r="I405" s="16" t="str">
        <f t="shared" si="51"/>
        <v/>
      </c>
      <c r="J405" s="76" t="str">
        <f t="shared" si="52"/>
        <v/>
      </c>
      <c r="K405" s="77" t="str">
        <f t="shared" si="53"/>
        <v/>
      </c>
      <c r="L405" s="78" t="str">
        <f t="shared" si="54"/>
        <v/>
      </c>
      <c r="M405" s="4"/>
      <c r="N405" s="79">
        <f>IF(OR($A405="",$B405=""),0,IF(COUNTIFS($A$5:$A405,$A405,$B$5:$B405,$B405)=1,1,0))</f>
        <v>0</v>
      </c>
      <c r="O405" s="79" t="str">
        <f t="shared" si="55"/>
        <v/>
      </c>
      <c r="P405" s="79" t="str">
        <f t="shared" si="56"/>
        <v/>
      </c>
      <c r="AL405" s="89" t="str">
        <f t="shared" ca="1" si="57"/>
        <v/>
      </c>
    </row>
    <row r="406" spans="1:38" x14ac:dyDescent="0.3">
      <c r="A406" s="70"/>
      <c r="B406" s="71"/>
      <c r="C406" s="71"/>
      <c r="D406" s="71"/>
      <c r="E406" s="72"/>
      <c r="F406" s="73"/>
      <c r="G406" s="74"/>
      <c r="H406" s="75" t="str">
        <f t="shared" si="50"/>
        <v/>
      </c>
      <c r="I406" s="16" t="str">
        <f t="shared" si="51"/>
        <v/>
      </c>
      <c r="J406" s="76" t="str">
        <f t="shared" si="52"/>
        <v/>
      </c>
      <c r="K406" s="77" t="str">
        <f t="shared" si="53"/>
        <v/>
      </c>
      <c r="L406" s="78" t="str">
        <f t="shared" si="54"/>
        <v/>
      </c>
      <c r="M406" s="4"/>
      <c r="N406" s="79">
        <f>IF(OR($A406="",$B406=""),0,IF(COUNTIFS($A$5:$A406,$A406,$B$5:$B406,$B406)=1,1,0))</f>
        <v>0</v>
      </c>
      <c r="O406" s="79" t="str">
        <f t="shared" si="55"/>
        <v/>
      </c>
      <c r="P406" s="79" t="str">
        <f t="shared" si="56"/>
        <v/>
      </c>
      <c r="AL406" s="89" t="str">
        <f t="shared" ca="1" si="57"/>
        <v/>
      </c>
    </row>
    <row r="407" spans="1:38" x14ac:dyDescent="0.3">
      <c r="A407" s="70"/>
      <c r="B407" s="71"/>
      <c r="C407" s="71"/>
      <c r="D407" s="71"/>
      <c r="E407" s="72"/>
      <c r="F407" s="73"/>
      <c r="G407" s="74"/>
      <c r="H407" s="75" t="str">
        <f t="shared" si="50"/>
        <v/>
      </c>
      <c r="I407" s="16" t="str">
        <f t="shared" si="51"/>
        <v/>
      </c>
      <c r="J407" s="76" t="str">
        <f t="shared" si="52"/>
        <v/>
      </c>
      <c r="K407" s="77" t="str">
        <f t="shared" si="53"/>
        <v/>
      </c>
      <c r="L407" s="78" t="str">
        <f t="shared" si="54"/>
        <v/>
      </c>
      <c r="M407" s="4"/>
      <c r="N407" s="79">
        <f>IF(OR($A407="",$B407=""),0,IF(COUNTIFS($A$5:$A407,$A407,$B$5:$B407,$B407)=1,1,0))</f>
        <v>0</v>
      </c>
      <c r="O407" s="79" t="str">
        <f t="shared" si="55"/>
        <v/>
      </c>
      <c r="P407" s="79" t="str">
        <f t="shared" si="56"/>
        <v/>
      </c>
      <c r="AL407" s="89" t="str">
        <f t="shared" ca="1" si="57"/>
        <v/>
      </c>
    </row>
    <row r="408" spans="1:38" x14ac:dyDescent="0.3">
      <c r="A408" s="70"/>
      <c r="B408" s="71"/>
      <c r="C408" s="71"/>
      <c r="D408" s="71"/>
      <c r="E408" s="72"/>
      <c r="F408" s="73"/>
      <c r="G408" s="74"/>
      <c r="H408" s="75" t="str">
        <f t="shared" si="50"/>
        <v/>
      </c>
      <c r="I408" s="16" t="str">
        <f t="shared" si="51"/>
        <v/>
      </c>
      <c r="J408" s="76" t="str">
        <f t="shared" si="52"/>
        <v/>
      </c>
      <c r="K408" s="77" t="str">
        <f t="shared" si="53"/>
        <v/>
      </c>
      <c r="L408" s="78" t="str">
        <f t="shared" si="54"/>
        <v/>
      </c>
      <c r="M408" s="4"/>
      <c r="N408" s="79">
        <f>IF(OR($A408="",$B408=""),0,IF(COUNTIFS($A$5:$A408,$A408,$B$5:$B408,$B408)=1,1,0))</f>
        <v>0</v>
      </c>
      <c r="O408" s="79" t="str">
        <f t="shared" si="55"/>
        <v/>
      </c>
      <c r="P408" s="79" t="str">
        <f t="shared" si="56"/>
        <v/>
      </c>
      <c r="AL408" s="89" t="str">
        <f t="shared" ca="1" si="57"/>
        <v/>
      </c>
    </row>
    <row r="409" spans="1:38" x14ac:dyDescent="0.3">
      <c r="A409" s="70"/>
      <c r="B409" s="71"/>
      <c r="C409" s="71"/>
      <c r="D409" s="71"/>
      <c r="E409" s="72"/>
      <c r="F409" s="73"/>
      <c r="G409" s="74"/>
      <c r="H409" s="75" t="str">
        <f t="shared" si="50"/>
        <v/>
      </c>
      <c r="I409" s="16" t="str">
        <f t="shared" si="51"/>
        <v/>
      </c>
      <c r="J409" s="76" t="str">
        <f t="shared" si="52"/>
        <v/>
      </c>
      <c r="K409" s="77" t="str">
        <f t="shared" si="53"/>
        <v/>
      </c>
      <c r="L409" s="78" t="str">
        <f t="shared" si="54"/>
        <v/>
      </c>
      <c r="M409" s="4"/>
      <c r="N409" s="79">
        <f>IF(OR($A409="",$B409=""),0,IF(COUNTIFS($A$5:$A409,$A409,$B$5:$B409,$B409)=1,1,0))</f>
        <v>0</v>
      </c>
      <c r="O409" s="79" t="str">
        <f t="shared" si="55"/>
        <v/>
      </c>
      <c r="P409" s="79" t="str">
        <f t="shared" si="56"/>
        <v/>
      </c>
      <c r="AL409" s="89" t="str">
        <f t="shared" ca="1" si="57"/>
        <v/>
      </c>
    </row>
    <row r="410" spans="1:38" x14ac:dyDescent="0.3">
      <c r="A410" s="70"/>
      <c r="B410" s="71"/>
      <c r="C410" s="71"/>
      <c r="D410" s="71"/>
      <c r="E410" s="72"/>
      <c r="F410" s="73"/>
      <c r="G410" s="74"/>
      <c r="H410" s="75" t="str">
        <f t="shared" si="50"/>
        <v/>
      </c>
      <c r="I410" s="16" t="str">
        <f t="shared" si="51"/>
        <v/>
      </c>
      <c r="J410" s="76" t="str">
        <f t="shared" si="52"/>
        <v/>
      </c>
      <c r="K410" s="77" t="str">
        <f t="shared" si="53"/>
        <v/>
      </c>
      <c r="L410" s="78" t="str">
        <f t="shared" si="54"/>
        <v/>
      </c>
      <c r="M410" s="4"/>
      <c r="N410" s="79">
        <f>IF(OR($A410="",$B410=""),0,IF(COUNTIFS($A$5:$A410,$A410,$B$5:$B410,$B410)=1,1,0))</f>
        <v>0</v>
      </c>
      <c r="O410" s="79" t="str">
        <f t="shared" si="55"/>
        <v/>
      </c>
      <c r="P410" s="79" t="str">
        <f t="shared" si="56"/>
        <v/>
      </c>
      <c r="AL410" s="89" t="str">
        <f t="shared" ca="1" si="57"/>
        <v/>
      </c>
    </row>
    <row r="411" spans="1:38" x14ac:dyDescent="0.3">
      <c r="A411" s="70"/>
      <c r="B411" s="71"/>
      <c r="C411" s="71"/>
      <c r="D411" s="71"/>
      <c r="E411" s="72"/>
      <c r="F411" s="73"/>
      <c r="G411" s="74"/>
      <c r="H411" s="75" t="str">
        <f t="shared" si="50"/>
        <v/>
      </c>
      <c r="I411" s="16" t="str">
        <f t="shared" si="51"/>
        <v/>
      </c>
      <c r="J411" s="76" t="str">
        <f t="shared" si="52"/>
        <v/>
      </c>
      <c r="K411" s="77" t="str">
        <f t="shared" si="53"/>
        <v/>
      </c>
      <c r="L411" s="78" t="str">
        <f t="shared" si="54"/>
        <v/>
      </c>
      <c r="M411" s="4"/>
      <c r="N411" s="79">
        <f>IF(OR($A411="",$B411=""),0,IF(COUNTIFS($A$5:$A411,$A411,$B$5:$B411,$B411)=1,1,0))</f>
        <v>0</v>
      </c>
      <c r="O411" s="79" t="str">
        <f t="shared" si="55"/>
        <v/>
      </c>
      <c r="P411" s="79" t="str">
        <f t="shared" si="56"/>
        <v/>
      </c>
      <c r="AL411" s="89" t="str">
        <f t="shared" ca="1" si="57"/>
        <v/>
      </c>
    </row>
    <row r="412" spans="1:38" x14ac:dyDescent="0.3">
      <c r="A412" s="70"/>
      <c r="B412" s="71"/>
      <c r="C412" s="71"/>
      <c r="D412" s="71"/>
      <c r="E412" s="72"/>
      <c r="F412" s="73"/>
      <c r="G412" s="74"/>
      <c r="H412" s="75" t="str">
        <f t="shared" si="50"/>
        <v/>
      </c>
      <c r="I412" s="16" t="str">
        <f t="shared" si="51"/>
        <v/>
      </c>
      <c r="J412" s="76" t="str">
        <f t="shared" si="52"/>
        <v/>
      </c>
      <c r="K412" s="77" t="str">
        <f t="shared" si="53"/>
        <v/>
      </c>
      <c r="L412" s="78" t="str">
        <f t="shared" si="54"/>
        <v/>
      </c>
      <c r="M412" s="4"/>
      <c r="N412" s="79">
        <f>IF(OR($A412="",$B412=""),0,IF(COUNTIFS($A$5:$A412,$A412,$B$5:$B412,$B412)=1,1,0))</f>
        <v>0</v>
      </c>
      <c r="O412" s="79" t="str">
        <f t="shared" si="55"/>
        <v/>
      </c>
      <c r="P412" s="79" t="str">
        <f t="shared" si="56"/>
        <v/>
      </c>
      <c r="AL412" s="89" t="str">
        <f t="shared" ca="1" si="57"/>
        <v/>
      </c>
    </row>
    <row r="413" spans="1:38" x14ac:dyDescent="0.3">
      <c r="A413" s="70"/>
      <c r="B413" s="71"/>
      <c r="C413" s="71"/>
      <c r="D413" s="71"/>
      <c r="E413" s="72"/>
      <c r="F413" s="73"/>
      <c r="G413" s="74"/>
      <c r="H413" s="75" t="str">
        <f t="shared" si="50"/>
        <v/>
      </c>
      <c r="I413" s="16" t="str">
        <f t="shared" si="51"/>
        <v/>
      </c>
      <c r="J413" s="76" t="str">
        <f t="shared" si="52"/>
        <v/>
      </c>
      <c r="K413" s="77" t="str">
        <f t="shared" si="53"/>
        <v/>
      </c>
      <c r="L413" s="78" t="str">
        <f t="shared" si="54"/>
        <v/>
      </c>
      <c r="M413" s="4"/>
      <c r="N413" s="79">
        <f>IF(OR($A413="",$B413=""),0,IF(COUNTIFS($A$5:$A413,$A413,$B$5:$B413,$B413)=1,1,0))</f>
        <v>0</v>
      </c>
      <c r="O413" s="79" t="str">
        <f t="shared" si="55"/>
        <v/>
      </c>
      <c r="P413" s="79" t="str">
        <f t="shared" si="56"/>
        <v/>
      </c>
      <c r="AL413" s="89" t="str">
        <f t="shared" ca="1" si="57"/>
        <v/>
      </c>
    </row>
    <row r="414" spans="1:38" x14ac:dyDescent="0.3">
      <c r="A414" s="70"/>
      <c r="B414" s="71"/>
      <c r="C414" s="71"/>
      <c r="D414" s="71"/>
      <c r="E414" s="72"/>
      <c r="F414" s="73"/>
      <c r="G414" s="74"/>
      <c r="H414" s="75" t="str">
        <f t="shared" si="50"/>
        <v/>
      </c>
      <c r="I414" s="16" t="str">
        <f t="shared" si="51"/>
        <v/>
      </c>
      <c r="J414" s="76" t="str">
        <f t="shared" si="52"/>
        <v/>
      </c>
      <c r="K414" s="77" t="str">
        <f t="shared" si="53"/>
        <v/>
      </c>
      <c r="L414" s="78" t="str">
        <f t="shared" si="54"/>
        <v/>
      </c>
      <c r="M414" s="4"/>
      <c r="N414" s="79">
        <f>IF(OR($A414="",$B414=""),0,IF(COUNTIFS($A$5:$A414,$A414,$B$5:$B414,$B414)=1,1,0))</f>
        <v>0</v>
      </c>
      <c r="O414" s="79" t="str">
        <f t="shared" si="55"/>
        <v/>
      </c>
      <c r="P414" s="79" t="str">
        <f t="shared" si="56"/>
        <v/>
      </c>
      <c r="AL414" s="89" t="str">
        <f t="shared" ca="1" si="57"/>
        <v/>
      </c>
    </row>
    <row r="415" spans="1:38" x14ac:dyDescent="0.3">
      <c r="A415" s="70"/>
      <c r="B415" s="71"/>
      <c r="C415" s="71"/>
      <c r="D415" s="71"/>
      <c r="E415" s="72"/>
      <c r="F415" s="73"/>
      <c r="G415" s="74"/>
      <c r="H415" s="75" t="str">
        <f t="shared" si="50"/>
        <v/>
      </c>
      <c r="I415" s="16" t="str">
        <f t="shared" si="51"/>
        <v/>
      </c>
      <c r="J415" s="76" t="str">
        <f t="shared" si="52"/>
        <v/>
      </c>
      <c r="K415" s="77" t="str">
        <f t="shared" si="53"/>
        <v/>
      </c>
      <c r="L415" s="78" t="str">
        <f t="shared" si="54"/>
        <v/>
      </c>
      <c r="M415" s="4"/>
      <c r="N415" s="79">
        <f>IF(OR($A415="",$B415=""),0,IF(COUNTIFS($A$5:$A415,$A415,$B$5:$B415,$B415)=1,1,0))</f>
        <v>0</v>
      </c>
      <c r="O415" s="79" t="str">
        <f t="shared" si="55"/>
        <v/>
      </c>
      <c r="P415" s="79" t="str">
        <f t="shared" si="56"/>
        <v/>
      </c>
      <c r="AL415" s="89" t="str">
        <f t="shared" ca="1" si="57"/>
        <v/>
      </c>
    </row>
    <row r="416" spans="1:38" x14ac:dyDescent="0.3">
      <c r="A416" s="70"/>
      <c r="B416" s="71"/>
      <c r="C416" s="71"/>
      <c r="D416" s="71"/>
      <c r="E416" s="72"/>
      <c r="F416" s="73"/>
      <c r="G416" s="74"/>
      <c r="H416" s="75" t="str">
        <f t="shared" si="50"/>
        <v/>
      </c>
      <c r="I416" s="16" t="str">
        <f t="shared" si="51"/>
        <v/>
      </c>
      <c r="J416" s="76" t="str">
        <f t="shared" si="52"/>
        <v/>
      </c>
      <c r="K416" s="77" t="str">
        <f t="shared" si="53"/>
        <v/>
      </c>
      <c r="L416" s="78" t="str">
        <f t="shared" si="54"/>
        <v/>
      </c>
      <c r="M416" s="4"/>
      <c r="N416" s="79">
        <f>IF(OR($A416="",$B416=""),0,IF(COUNTIFS($A$5:$A416,$A416,$B$5:$B416,$B416)=1,1,0))</f>
        <v>0</v>
      </c>
      <c r="O416" s="79" t="str">
        <f t="shared" si="55"/>
        <v/>
      </c>
      <c r="P416" s="79" t="str">
        <f t="shared" si="56"/>
        <v/>
      </c>
      <c r="AL416" s="89" t="str">
        <f t="shared" ca="1" si="57"/>
        <v/>
      </c>
    </row>
    <row r="417" spans="1:38" x14ac:dyDescent="0.3">
      <c r="A417" s="70"/>
      <c r="B417" s="71"/>
      <c r="C417" s="71"/>
      <c r="D417" s="71"/>
      <c r="E417" s="72"/>
      <c r="F417" s="73"/>
      <c r="G417" s="74"/>
      <c r="H417" s="75" t="str">
        <f t="shared" si="50"/>
        <v/>
      </c>
      <c r="I417" s="16" t="str">
        <f t="shared" si="51"/>
        <v/>
      </c>
      <c r="J417" s="76" t="str">
        <f t="shared" si="52"/>
        <v/>
      </c>
      <c r="K417" s="77" t="str">
        <f t="shared" si="53"/>
        <v/>
      </c>
      <c r="L417" s="78" t="str">
        <f t="shared" si="54"/>
        <v/>
      </c>
      <c r="M417" s="4"/>
      <c r="N417" s="79">
        <f>IF(OR($A417="",$B417=""),0,IF(COUNTIFS($A$5:$A417,$A417,$B$5:$B417,$B417)=1,1,0))</f>
        <v>0</v>
      </c>
      <c r="O417" s="79" t="str">
        <f t="shared" si="55"/>
        <v/>
      </c>
      <c r="P417" s="79" t="str">
        <f t="shared" si="56"/>
        <v/>
      </c>
      <c r="AL417" s="89" t="str">
        <f t="shared" ca="1" si="57"/>
        <v/>
      </c>
    </row>
    <row r="418" spans="1:38" x14ac:dyDescent="0.3">
      <c r="A418" s="70"/>
      <c r="B418" s="71"/>
      <c r="C418" s="71"/>
      <c r="D418" s="71"/>
      <c r="E418" s="72"/>
      <c r="F418" s="73"/>
      <c r="G418" s="74"/>
      <c r="H418" s="75" t="str">
        <f t="shared" si="50"/>
        <v/>
      </c>
      <c r="I418" s="16" t="str">
        <f t="shared" si="51"/>
        <v/>
      </c>
      <c r="J418" s="76" t="str">
        <f t="shared" si="52"/>
        <v/>
      </c>
      <c r="K418" s="77" t="str">
        <f t="shared" si="53"/>
        <v/>
      </c>
      <c r="L418" s="78" t="str">
        <f t="shared" si="54"/>
        <v/>
      </c>
      <c r="M418" s="4"/>
      <c r="N418" s="79">
        <f>IF(OR($A418="",$B418=""),0,IF(COUNTIFS($A$5:$A418,$A418,$B$5:$B418,$B418)=1,1,0))</f>
        <v>0</v>
      </c>
      <c r="O418" s="79" t="str">
        <f t="shared" si="55"/>
        <v/>
      </c>
      <c r="P418" s="79" t="str">
        <f t="shared" si="56"/>
        <v/>
      </c>
      <c r="AL418" s="89" t="str">
        <f t="shared" ca="1" si="57"/>
        <v/>
      </c>
    </row>
    <row r="419" spans="1:38" x14ac:dyDescent="0.3">
      <c r="A419" s="70"/>
      <c r="B419" s="71"/>
      <c r="C419" s="71"/>
      <c r="D419" s="71"/>
      <c r="E419" s="72"/>
      <c r="F419" s="73"/>
      <c r="G419" s="74"/>
      <c r="H419" s="75" t="str">
        <f t="shared" si="50"/>
        <v/>
      </c>
      <c r="I419" s="16" t="str">
        <f t="shared" si="51"/>
        <v/>
      </c>
      <c r="J419" s="76" t="str">
        <f t="shared" si="52"/>
        <v/>
      </c>
      <c r="K419" s="77" t="str">
        <f t="shared" si="53"/>
        <v/>
      </c>
      <c r="L419" s="78" t="str">
        <f t="shared" si="54"/>
        <v/>
      </c>
      <c r="M419" s="4"/>
      <c r="N419" s="79">
        <f>IF(OR($A419="",$B419=""),0,IF(COUNTIFS($A$5:$A419,$A419,$B$5:$B419,$B419)=1,1,0))</f>
        <v>0</v>
      </c>
      <c r="O419" s="79" t="str">
        <f t="shared" si="55"/>
        <v/>
      </c>
      <c r="P419" s="79" t="str">
        <f t="shared" si="56"/>
        <v/>
      </c>
      <c r="AL419" s="89" t="str">
        <f t="shared" ca="1" si="57"/>
        <v/>
      </c>
    </row>
    <row r="420" spans="1:38" x14ac:dyDescent="0.3">
      <c r="A420" s="70"/>
      <c r="B420" s="71"/>
      <c r="C420" s="71"/>
      <c r="D420" s="71"/>
      <c r="E420" s="72"/>
      <c r="F420" s="73"/>
      <c r="G420" s="74"/>
      <c r="H420" s="75" t="str">
        <f t="shared" si="50"/>
        <v/>
      </c>
      <c r="I420" s="16" t="str">
        <f t="shared" si="51"/>
        <v/>
      </c>
      <c r="J420" s="76" t="str">
        <f t="shared" si="52"/>
        <v/>
      </c>
      <c r="K420" s="77" t="str">
        <f t="shared" si="53"/>
        <v/>
      </c>
      <c r="L420" s="78" t="str">
        <f t="shared" si="54"/>
        <v/>
      </c>
      <c r="M420" s="4"/>
      <c r="N420" s="79">
        <f>IF(OR($A420="",$B420=""),0,IF(COUNTIFS($A$5:$A420,$A420,$B$5:$B420,$B420)=1,1,0))</f>
        <v>0</v>
      </c>
      <c r="O420" s="79" t="str">
        <f t="shared" si="55"/>
        <v/>
      </c>
      <c r="P420" s="79" t="str">
        <f t="shared" si="56"/>
        <v/>
      </c>
      <c r="AL420" s="89" t="str">
        <f t="shared" ca="1" si="57"/>
        <v/>
      </c>
    </row>
    <row r="421" spans="1:38" x14ac:dyDescent="0.3">
      <c r="A421" s="70"/>
      <c r="B421" s="71"/>
      <c r="C421" s="71"/>
      <c r="D421" s="71"/>
      <c r="E421" s="72"/>
      <c r="F421" s="73"/>
      <c r="G421" s="74"/>
      <c r="H421" s="75" t="str">
        <f t="shared" si="50"/>
        <v/>
      </c>
      <c r="I421" s="16" t="str">
        <f t="shared" si="51"/>
        <v/>
      </c>
      <c r="J421" s="76" t="str">
        <f t="shared" si="52"/>
        <v/>
      </c>
      <c r="K421" s="77" t="str">
        <f t="shared" si="53"/>
        <v/>
      </c>
      <c r="L421" s="78" t="str">
        <f t="shared" si="54"/>
        <v/>
      </c>
      <c r="M421" s="4"/>
      <c r="N421" s="79">
        <f>IF(OR($A421="",$B421=""),0,IF(COUNTIFS($A$5:$A421,$A421,$B$5:$B421,$B421)=1,1,0))</f>
        <v>0</v>
      </c>
      <c r="O421" s="79" t="str">
        <f t="shared" si="55"/>
        <v/>
      </c>
      <c r="P421" s="79" t="str">
        <f t="shared" si="56"/>
        <v/>
      </c>
      <c r="AL421" s="89" t="str">
        <f t="shared" ca="1" si="57"/>
        <v/>
      </c>
    </row>
    <row r="422" spans="1:38" x14ac:dyDescent="0.3">
      <c r="A422" s="70"/>
      <c r="B422" s="71"/>
      <c r="C422" s="71"/>
      <c r="D422" s="71"/>
      <c r="E422" s="72"/>
      <c r="F422" s="73"/>
      <c r="G422" s="74"/>
      <c r="H422" s="75" t="str">
        <f t="shared" si="50"/>
        <v/>
      </c>
      <c r="I422" s="16" t="str">
        <f t="shared" si="51"/>
        <v/>
      </c>
      <c r="J422" s="76" t="str">
        <f t="shared" si="52"/>
        <v/>
      </c>
      <c r="K422" s="77" t="str">
        <f t="shared" si="53"/>
        <v/>
      </c>
      <c r="L422" s="78" t="str">
        <f t="shared" si="54"/>
        <v/>
      </c>
      <c r="M422" s="4"/>
      <c r="N422" s="79">
        <f>IF(OR($A422="",$B422=""),0,IF(COUNTIFS($A$5:$A422,$A422,$B$5:$B422,$B422)=1,1,0))</f>
        <v>0</v>
      </c>
      <c r="O422" s="79" t="str">
        <f t="shared" si="55"/>
        <v/>
      </c>
      <c r="P422" s="79" t="str">
        <f t="shared" si="56"/>
        <v/>
      </c>
      <c r="AL422" s="89" t="str">
        <f t="shared" ca="1" si="57"/>
        <v/>
      </c>
    </row>
    <row r="423" spans="1:38" x14ac:dyDescent="0.3">
      <c r="A423" s="70"/>
      <c r="B423" s="71"/>
      <c r="C423" s="71"/>
      <c r="D423" s="71"/>
      <c r="E423" s="72"/>
      <c r="F423" s="73"/>
      <c r="G423" s="74"/>
      <c r="H423" s="75" t="str">
        <f t="shared" si="50"/>
        <v/>
      </c>
      <c r="I423" s="16" t="str">
        <f t="shared" si="51"/>
        <v/>
      </c>
      <c r="J423" s="76" t="str">
        <f t="shared" si="52"/>
        <v/>
      </c>
      <c r="K423" s="77" t="str">
        <f t="shared" si="53"/>
        <v/>
      </c>
      <c r="L423" s="78" t="str">
        <f t="shared" si="54"/>
        <v/>
      </c>
      <c r="M423" s="4"/>
      <c r="N423" s="79">
        <f>IF(OR($A423="",$B423=""),0,IF(COUNTIFS($A$5:$A423,$A423,$B$5:$B423,$B423)=1,1,0))</f>
        <v>0</v>
      </c>
      <c r="O423" s="79" t="str">
        <f t="shared" si="55"/>
        <v/>
      </c>
      <c r="P423" s="79" t="str">
        <f t="shared" si="56"/>
        <v/>
      </c>
      <c r="AL423" s="89" t="str">
        <f t="shared" ca="1" si="57"/>
        <v/>
      </c>
    </row>
    <row r="424" spans="1:38" x14ac:dyDescent="0.3">
      <c r="A424" s="70"/>
      <c r="B424" s="71"/>
      <c r="C424" s="71"/>
      <c r="D424" s="71"/>
      <c r="E424" s="72"/>
      <c r="F424" s="73"/>
      <c r="G424" s="74"/>
      <c r="H424" s="75" t="str">
        <f t="shared" si="50"/>
        <v/>
      </c>
      <c r="I424" s="16" t="str">
        <f t="shared" si="51"/>
        <v/>
      </c>
      <c r="J424" s="76" t="str">
        <f t="shared" si="52"/>
        <v/>
      </c>
      <c r="K424" s="77" t="str">
        <f t="shared" si="53"/>
        <v/>
      </c>
      <c r="L424" s="78" t="str">
        <f t="shared" si="54"/>
        <v/>
      </c>
      <c r="M424" s="4"/>
      <c r="N424" s="79">
        <f>IF(OR($A424="",$B424=""),0,IF(COUNTIFS($A$5:$A424,$A424,$B$5:$B424,$B424)=1,1,0))</f>
        <v>0</v>
      </c>
      <c r="O424" s="79" t="str">
        <f t="shared" si="55"/>
        <v/>
      </c>
      <c r="P424" s="79" t="str">
        <f t="shared" si="56"/>
        <v/>
      </c>
      <c r="AL424" s="89" t="str">
        <f t="shared" ca="1" si="57"/>
        <v/>
      </c>
    </row>
    <row r="425" spans="1:38" x14ac:dyDescent="0.3">
      <c r="A425" s="70"/>
      <c r="B425" s="71"/>
      <c r="C425" s="71"/>
      <c r="D425" s="71"/>
      <c r="E425" s="72"/>
      <c r="F425" s="73"/>
      <c r="G425" s="74"/>
      <c r="H425" s="75" t="str">
        <f t="shared" si="50"/>
        <v/>
      </c>
      <c r="I425" s="16" t="str">
        <f t="shared" si="51"/>
        <v/>
      </c>
      <c r="J425" s="76" t="str">
        <f t="shared" si="52"/>
        <v/>
      </c>
      <c r="K425" s="77" t="str">
        <f t="shared" si="53"/>
        <v/>
      </c>
      <c r="L425" s="78" t="str">
        <f t="shared" si="54"/>
        <v/>
      </c>
      <c r="M425" s="4"/>
      <c r="N425" s="79">
        <f>IF(OR($A425="",$B425=""),0,IF(COUNTIFS($A$5:$A425,$A425,$B$5:$B425,$B425)=1,1,0))</f>
        <v>0</v>
      </c>
      <c r="O425" s="79" t="str">
        <f t="shared" si="55"/>
        <v/>
      </c>
      <c r="P425" s="79" t="str">
        <f t="shared" si="56"/>
        <v/>
      </c>
      <c r="AL425" s="89" t="str">
        <f t="shared" ca="1" si="57"/>
        <v/>
      </c>
    </row>
    <row r="426" spans="1:38" x14ac:dyDescent="0.3">
      <c r="A426" s="70"/>
      <c r="B426" s="71"/>
      <c r="C426" s="71"/>
      <c r="D426" s="71"/>
      <c r="E426" s="72"/>
      <c r="F426" s="73"/>
      <c r="G426" s="74"/>
      <c r="H426" s="75" t="str">
        <f t="shared" si="50"/>
        <v/>
      </c>
      <c r="I426" s="16" t="str">
        <f t="shared" si="51"/>
        <v/>
      </c>
      <c r="J426" s="76" t="str">
        <f t="shared" si="52"/>
        <v/>
      </c>
      <c r="K426" s="77" t="str">
        <f t="shared" si="53"/>
        <v/>
      </c>
      <c r="L426" s="78" t="str">
        <f t="shared" si="54"/>
        <v/>
      </c>
      <c r="M426" s="4"/>
      <c r="N426" s="79">
        <f>IF(OR($A426="",$B426=""),0,IF(COUNTIFS($A$5:$A426,$A426,$B$5:$B426,$B426)=1,1,0))</f>
        <v>0</v>
      </c>
      <c r="O426" s="79" t="str">
        <f t="shared" si="55"/>
        <v/>
      </c>
      <c r="P426" s="79" t="str">
        <f t="shared" si="56"/>
        <v/>
      </c>
      <c r="AL426" s="89" t="str">
        <f t="shared" ca="1" si="57"/>
        <v/>
      </c>
    </row>
    <row r="427" spans="1:38" x14ac:dyDescent="0.3">
      <c r="A427" s="70"/>
      <c r="B427" s="71"/>
      <c r="C427" s="71"/>
      <c r="D427" s="71"/>
      <c r="E427" s="72"/>
      <c r="F427" s="73"/>
      <c r="G427" s="74"/>
      <c r="H427" s="75" t="str">
        <f t="shared" si="50"/>
        <v/>
      </c>
      <c r="I427" s="16" t="str">
        <f t="shared" si="51"/>
        <v/>
      </c>
      <c r="J427" s="76" t="str">
        <f t="shared" si="52"/>
        <v/>
      </c>
      <c r="K427" s="77" t="str">
        <f t="shared" si="53"/>
        <v/>
      </c>
      <c r="L427" s="78" t="str">
        <f t="shared" si="54"/>
        <v/>
      </c>
      <c r="M427" s="4"/>
      <c r="N427" s="79">
        <f>IF(OR($A427="",$B427=""),0,IF(COUNTIFS($A$5:$A427,$A427,$B$5:$B427,$B427)=1,1,0))</f>
        <v>0</v>
      </c>
      <c r="O427" s="79" t="str">
        <f t="shared" si="55"/>
        <v/>
      </c>
      <c r="P427" s="79" t="str">
        <f t="shared" si="56"/>
        <v/>
      </c>
      <c r="AL427" s="89" t="str">
        <f t="shared" ca="1" si="57"/>
        <v/>
      </c>
    </row>
    <row r="428" spans="1:38" x14ac:dyDescent="0.3">
      <c r="A428" s="70"/>
      <c r="B428" s="71"/>
      <c r="C428" s="71"/>
      <c r="D428" s="71"/>
      <c r="E428" s="72"/>
      <c r="F428" s="73"/>
      <c r="G428" s="74"/>
      <c r="H428" s="75" t="str">
        <f t="shared" si="50"/>
        <v/>
      </c>
      <c r="I428" s="16" t="str">
        <f t="shared" si="51"/>
        <v/>
      </c>
      <c r="J428" s="76" t="str">
        <f t="shared" si="52"/>
        <v/>
      </c>
      <c r="K428" s="77" t="str">
        <f t="shared" si="53"/>
        <v/>
      </c>
      <c r="L428" s="78" t="str">
        <f t="shared" si="54"/>
        <v/>
      </c>
      <c r="M428" s="4"/>
      <c r="N428" s="79">
        <f>IF(OR($A428="",$B428=""),0,IF(COUNTIFS($A$5:$A428,$A428,$B$5:$B428,$B428)=1,1,0))</f>
        <v>0</v>
      </c>
      <c r="O428" s="79" t="str">
        <f t="shared" si="55"/>
        <v/>
      </c>
      <c r="P428" s="79" t="str">
        <f t="shared" si="56"/>
        <v/>
      </c>
      <c r="AL428" s="89" t="str">
        <f t="shared" ca="1" si="57"/>
        <v/>
      </c>
    </row>
    <row r="429" spans="1:38" x14ac:dyDescent="0.3">
      <c r="A429" s="70"/>
      <c r="B429" s="71"/>
      <c r="C429" s="71"/>
      <c r="D429" s="71"/>
      <c r="E429" s="72"/>
      <c r="F429" s="73"/>
      <c r="G429" s="74"/>
      <c r="H429" s="75" t="str">
        <f t="shared" si="50"/>
        <v/>
      </c>
      <c r="I429" s="16" t="str">
        <f t="shared" si="51"/>
        <v/>
      </c>
      <c r="J429" s="76" t="str">
        <f t="shared" si="52"/>
        <v/>
      </c>
      <c r="K429" s="77" t="str">
        <f t="shared" si="53"/>
        <v/>
      </c>
      <c r="L429" s="78" t="str">
        <f t="shared" si="54"/>
        <v/>
      </c>
      <c r="M429" s="4"/>
      <c r="N429" s="79">
        <f>IF(OR($A429="",$B429=""),0,IF(COUNTIFS($A$5:$A429,$A429,$B$5:$B429,$B429)=1,1,0))</f>
        <v>0</v>
      </c>
      <c r="O429" s="79" t="str">
        <f t="shared" si="55"/>
        <v/>
      </c>
      <c r="P429" s="79" t="str">
        <f t="shared" si="56"/>
        <v/>
      </c>
      <c r="AL429" s="89" t="str">
        <f t="shared" ca="1" si="57"/>
        <v/>
      </c>
    </row>
    <row r="430" spans="1:38" x14ac:dyDescent="0.3">
      <c r="A430" s="70"/>
      <c r="B430" s="71"/>
      <c r="C430" s="71"/>
      <c r="D430" s="71"/>
      <c r="E430" s="72"/>
      <c r="F430" s="73"/>
      <c r="G430" s="74"/>
      <c r="H430" s="75" t="str">
        <f t="shared" si="50"/>
        <v/>
      </c>
      <c r="I430" s="16" t="str">
        <f t="shared" si="51"/>
        <v/>
      </c>
      <c r="J430" s="76" t="str">
        <f t="shared" si="52"/>
        <v/>
      </c>
      <c r="K430" s="77" t="str">
        <f t="shared" si="53"/>
        <v/>
      </c>
      <c r="L430" s="78" t="str">
        <f t="shared" si="54"/>
        <v/>
      </c>
      <c r="M430" s="4"/>
      <c r="N430" s="79">
        <f>IF(OR($A430="",$B430=""),0,IF(COUNTIFS($A$5:$A430,$A430,$B$5:$B430,$B430)=1,1,0))</f>
        <v>0</v>
      </c>
      <c r="O430" s="79" t="str">
        <f t="shared" si="55"/>
        <v/>
      </c>
      <c r="P430" s="79" t="str">
        <f t="shared" si="56"/>
        <v/>
      </c>
      <c r="AL430" s="89" t="str">
        <f t="shared" ca="1" si="57"/>
        <v/>
      </c>
    </row>
    <row r="431" spans="1:38" x14ac:dyDescent="0.3">
      <c r="A431" s="70"/>
      <c r="B431" s="71"/>
      <c r="C431" s="71"/>
      <c r="D431" s="71"/>
      <c r="E431" s="72"/>
      <c r="F431" s="73"/>
      <c r="G431" s="74"/>
      <c r="H431" s="75" t="str">
        <f t="shared" si="50"/>
        <v/>
      </c>
      <c r="I431" s="16" t="str">
        <f t="shared" si="51"/>
        <v/>
      </c>
      <c r="J431" s="76" t="str">
        <f t="shared" si="52"/>
        <v/>
      </c>
      <c r="K431" s="77" t="str">
        <f t="shared" si="53"/>
        <v/>
      </c>
      <c r="L431" s="78" t="str">
        <f t="shared" si="54"/>
        <v/>
      </c>
      <c r="M431" s="4"/>
      <c r="N431" s="79">
        <f>IF(OR($A431="",$B431=""),0,IF(COUNTIFS($A$5:$A431,$A431,$B$5:$B431,$B431)=1,1,0))</f>
        <v>0</v>
      </c>
      <c r="O431" s="79" t="str">
        <f t="shared" si="55"/>
        <v/>
      </c>
      <c r="P431" s="79" t="str">
        <f t="shared" si="56"/>
        <v/>
      </c>
      <c r="AL431" s="89" t="str">
        <f t="shared" ca="1" si="57"/>
        <v/>
      </c>
    </row>
    <row r="432" spans="1:38" x14ac:dyDescent="0.3">
      <c r="A432" s="70"/>
      <c r="B432" s="71"/>
      <c r="C432" s="71"/>
      <c r="D432" s="71"/>
      <c r="E432" s="72"/>
      <c r="F432" s="73"/>
      <c r="G432" s="74"/>
      <c r="H432" s="75" t="str">
        <f t="shared" si="50"/>
        <v/>
      </c>
      <c r="I432" s="16" t="str">
        <f t="shared" si="51"/>
        <v/>
      </c>
      <c r="J432" s="76" t="str">
        <f t="shared" si="52"/>
        <v/>
      </c>
      <c r="K432" s="77" t="str">
        <f t="shared" si="53"/>
        <v/>
      </c>
      <c r="L432" s="78" t="str">
        <f t="shared" si="54"/>
        <v/>
      </c>
      <c r="M432" s="4"/>
      <c r="N432" s="79">
        <f>IF(OR($A432="",$B432=""),0,IF(COUNTIFS($A$5:$A432,$A432,$B$5:$B432,$B432)=1,1,0))</f>
        <v>0</v>
      </c>
      <c r="O432" s="79" t="str">
        <f t="shared" si="55"/>
        <v/>
      </c>
      <c r="P432" s="79" t="str">
        <f t="shared" si="56"/>
        <v/>
      </c>
      <c r="AL432" s="89" t="str">
        <f t="shared" ca="1" si="57"/>
        <v/>
      </c>
    </row>
    <row r="433" spans="1:38" x14ac:dyDescent="0.3">
      <c r="A433" s="70"/>
      <c r="B433" s="71"/>
      <c r="C433" s="71"/>
      <c r="D433" s="71"/>
      <c r="E433" s="72"/>
      <c r="F433" s="73"/>
      <c r="G433" s="74"/>
      <c r="H433" s="75" t="str">
        <f t="shared" si="50"/>
        <v/>
      </c>
      <c r="I433" s="16" t="str">
        <f t="shared" si="51"/>
        <v/>
      </c>
      <c r="J433" s="76" t="str">
        <f t="shared" si="52"/>
        <v/>
      </c>
      <c r="K433" s="77" t="str">
        <f t="shared" si="53"/>
        <v/>
      </c>
      <c r="L433" s="78" t="str">
        <f t="shared" si="54"/>
        <v/>
      </c>
      <c r="M433" s="4"/>
      <c r="N433" s="79">
        <f>IF(OR($A433="",$B433=""),0,IF(COUNTIFS($A$5:$A433,$A433,$B$5:$B433,$B433)=1,1,0))</f>
        <v>0</v>
      </c>
      <c r="O433" s="79" t="str">
        <f t="shared" si="55"/>
        <v/>
      </c>
      <c r="P433" s="79" t="str">
        <f t="shared" si="56"/>
        <v/>
      </c>
      <c r="AL433" s="89" t="str">
        <f t="shared" ca="1" si="57"/>
        <v/>
      </c>
    </row>
    <row r="434" spans="1:38" x14ac:dyDescent="0.3">
      <c r="A434" s="70"/>
      <c r="B434" s="71"/>
      <c r="C434" s="71"/>
      <c r="D434" s="71"/>
      <c r="E434" s="72"/>
      <c r="F434" s="73"/>
      <c r="G434" s="74"/>
      <c r="H434" s="75" t="str">
        <f t="shared" si="50"/>
        <v/>
      </c>
      <c r="I434" s="16" t="str">
        <f t="shared" si="51"/>
        <v/>
      </c>
      <c r="J434" s="76" t="str">
        <f t="shared" si="52"/>
        <v/>
      </c>
      <c r="K434" s="77" t="str">
        <f t="shared" si="53"/>
        <v/>
      </c>
      <c r="L434" s="78" t="str">
        <f t="shared" si="54"/>
        <v/>
      </c>
      <c r="M434" s="4"/>
      <c r="N434" s="79">
        <f>IF(OR($A434="",$B434=""),0,IF(COUNTIFS($A$5:$A434,$A434,$B$5:$B434,$B434)=1,1,0))</f>
        <v>0</v>
      </c>
      <c r="O434" s="79" t="str">
        <f t="shared" si="55"/>
        <v/>
      </c>
      <c r="P434" s="79" t="str">
        <f t="shared" si="56"/>
        <v/>
      </c>
      <c r="AL434" s="89" t="str">
        <f t="shared" ca="1" si="57"/>
        <v/>
      </c>
    </row>
    <row r="435" spans="1:38" x14ac:dyDescent="0.3">
      <c r="A435" s="70"/>
      <c r="B435" s="71"/>
      <c r="C435" s="71"/>
      <c r="D435" s="71"/>
      <c r="E435" s="72"/>
      <c r="F435" s="73"/>
      <c r="G435" s="74"/>
      <c r="H435" s="75" t="str">
        <f t="shared" si="50"/>
        <v/>
      </c>
      <c r="I435" s="16" t="str">
        <f t="shared" si="51"/>
        <v/>
      </c>
      <c r="J435" s="76" t="str">
        <f t="shared" si="52"/>
        <v/>
      </c>
      <c r="K435" s="77" t="str">
        <f t="shared" si="53"/>
        <v/>
      </c>
      <c r="L435" s="78" t="str">
        <f t="shared" si="54"/>
        <v/>
      </c>
      <c r="M435" s="4"/>
      <c r="N435" s="79">
        <f>IF(OR($A435="",$B435=""),0,IF(COUNTIFS($A$5:$A435,$A435,$B$5:$B435,$B435)=1,1,0))</f>
        <v>0</v>
      </c>
      <c r="O435" s="79" t="str">
        <f t="shared" si="55"/>
        <v/>
      </c>
      <c r="P435" s="79" t="str">
        <f t="shared" si="56"/>
        <v/>
      </c>
      <c r="AL435" s="89" t="str">
        <f t="shared" ca="1" si="57"/>
        <v/>
      </c>
    </row>
    <row r="436" spans="1:38" x14ac:dyDescent="0.3">
      <c r="A436" s="70"/>
      <c r="B436" s="71"/>
      <c r="C436" s="71"/>
      <c r="D436" s="71"/>
      <c r="E436" s="72"/>
      <c r="F436" s="73"/>
      <c r="G436" s="74"/>
      <c r="H436" s="75" t="str">
        <f t="shared" si="50"/>
        <v/>
      </c>
      <c r="I436" s="16" t="str">
        <f t="shared" si="51"/>
        <v/>
      </c>
      <c r="J436" s="76" t="str">
        <f t="shared" si="52"/>
        <v/>
      </c>
      <c r="K436" s="77" t="str">
        <f t="shared" si="53"/>
        <v/>
      </c>
      <c r="L436" s="78" t="str">
        <f t="shared" si="54"/>
        <v/>
      </c>
      <c r="M436" s="4"/>
      <c r="N436" s="79">
        <f>IF(OR($A436="",$B436=""),0,IF(COUNTIFS($A$5:$A436,$A436,$B$5:$B436,$B436)=1,1,0))</f>
        <v>0</v>
      </c>
      <c r="O436" s="79" t="str">
        <f t="shared" si="55"/>
        <v/>
      </c>
      <c r="P436" s="79" t="str">
        <f t="shared" si="56"/>
        <v/>
      </c>
      <c r="AL436" s="89" t="str">
        <f t="shared" ca="1" si="57"/>
        <v/>
      </c>
    </row>
    <row r="437" spans="1:38" x14ac:dyDescent="0.3">
      <c r="A437" s="70"/>
      <c r="B437" s="71"/>
      <c r="C437" s="71"/>
      <c r="D437" s="71"/>
      <c r="E437" s="72"/>
      <c r="F437" s="73"/>
      <c r="G437" s="74"/>
      <c r="H437" s="75" t="str">
        <f t="shared" si="50"/>
        <v/>
      </c>
      <c r="I437" s="16" t="str">
        <f t="shared" si="51"/>
        <v/>
      </c>
      <c r="J437" s="76" t="str">
        <f t="shared" si="52"/>
        <v/>
      </c>
      <c r="K437" s="77" t="str">
        <f t="shared" si="53"/>
        <v/>
      </c>
      <c r="L437" s="78" t="str">
        <f t="shared" si="54"/>
        <v/>
      </c>
      <c r="M437" s="4"/>
      <c r="N437" s="79">
        <f>IF(OR($A437="",$B437=""),0,IF(COUNTIFS($A$5:$A437,$A437,$B$5:$B437,$B437)=1,1,0))</f>
        <v>0</v>
      </c>
      <c r="O437" s="79" t="str">
        <f t="shared" si="55"/>
        <v/>
      </c>
      <c r="P437" s="79" t="str">
        <f t="shared" si="56"/>
        <v/>
      </c>
      <c r="AL437" s="89" t="str">
        <f t="shared" ca="1" si="57"/>
        <v/>
      </c>
    </row>
    <row r="438" spans="1:38" x14ac:dyDescent="0.3">
      <c r="A438" s="70"/>
      <c r="B438" s="71"/>
      <c r="C438" s="71"/>
      <c r="D438" s="71"/>
      <c r="E438" s="72"/>
      <c r="F438" s="73"/>
      <c r="G438" s="74"/>
      <c r="H438" s="75" t="str">
        <f t="shared" si="50"/>
        <v/>
      </c>
      <c r="I438" s="16" t="str">
        <f t="shared" si="51"/>
        <v/>
      </c>
      <c r="J438" s="76" t="str">
        <f t="shared" si="52"/>
        <v/>
      </c>
      <c r="K438" s="77" t="str">
        <f t="shared" si="53"/>
        <v/>
      </c>
      <c r="L438" s="78" t="str">
        <f t="shared" si="54"/>
        <v/>
      </c>
      <c r="M438" s="4"/>
      <c r="N438" s="79">
        <f>IF(OR($A438="",$B438=""),0,IF(COUNTIFS($A$5:$A438,$A438,$B$5:$B438,$B438)=1,1,0))</f>
        <v>0</v>
      </c>
      <c r="O438" s="79" t="str">
        <f t="shared" si="55"/>
        <v/>
      </c>
      <c r="P438" s="79" t="str">
        <f t="shared" si="56"/>
        <v/>
      </c>
      <c r="AL438" s="89" t="str">
        <f t="shared" ca="1" si="57"/>
        <v/>
      </c>
    </row>
    <row r="439" spans="1:38" x14ac:dyDescent="0.3">
      <c r="A439" s="70"/>
      <c r="B439" s="71"/>
      <c r="C439" s="71"/>
      <c r="D439" s="71"/>
      <c r="E439" s="72"/>
      <c r="F439" s="73"/>
      <c r="G439" s="74"/>
      <c r="H439" s="75" t="str">
        <f t="shared" si="50"/>
        <v/>
      </c>
      <c r="I439" s="16" t="str">
        <f t="shared" si="51"/>
        <v/>
      </c>
      <c r="J439" s="76" t="str">
        <f t="shared" si="52"/>
        <v/>
      </c>
      <c r="K439" s="77" t="str">
        <f t="shared" si="53"/>
        <v/>
      </c>
      <c r="L439" s="78" t="str">
        <f t="shared" si="54"/>
        <v/>
      </c>
      <c r="M439" s="4"/>
      <c r="N439" s="79">
        <f>IF(OR($A439="",$B439=""),0,IF(COUNTIFS($A$5:$A439,$A439,$B$5:$B439,$B439)=1,1,0))</f>
        <v>0</v>
      </c>
      <c r="O439" s="79" t="str">
        <f t="shared" si="55"/>
        <v/>
      </c>
      <c r="P439" s="79" t="str">
        <f t="shared" si="56"/>
        <v/>
      </c>
      <c r="AL439" s="89" t="str">
        <f t="shared" ca="1" si="57"/>
        <v/>
      </c>
    </row>
    <row r="440" spans="1:38" x14ac:dyDescent="0.3">
      <c r="A440" s="70"/>
      <c r="B440" s="71"/>
      <c r="C440" s="71"/>
      <c r="D440" s="71"/>
      <c r="E440" s="72"/>
      <c r="F440" s="73"/>
      <c r="G440" s="74"/>
      <c r="H440" s="75" t="str">
        <f t="shared" si="50"/>
        <v/>
      </c>
      <c r="I440" s="16" t="str">
        <f t="shared" si="51"/>
        <v/>
      </c>
      <c r="J440" s="76" t="str">
        <f t="shared" si="52"/>
        <v/>
      </c>
      <c r="K440" s="77" t="str">
        <f t="shared" si="53"/>
        <v/>
      </c>
      <c r="L440" s="78" t="str">
        <f t="shared" si="54"/>
        <v/>
      </c>
      <c r="M440" s="4"/>
      <c r="N440" s="79">
        <f>IF(OR($A440="",$B440=""),0,IF(COUNTIFS($A$5:$A440,$A440,$B$5:$B440,$B440)=1,1,0))</f>
        <v>0</v>
      </c>
      <c r="O440" s="79" t="str">
        <f t="shared" si="55"/>
        <v/>
      </c>
      <c r="P440" s="79" t="str">
        <f t="shared" si="56"/>
        <v/>
      </c>
      <c r="AL440" s="89" t="str">
        <f t="shared" ca="1" si="57"/>
        <v/>
      </c>
    </row>
    <row r="441" spans="1:38" x14ac:dyDescent="0.3">
      <c r="A441" s="70"/>
      <c r="B441" s="71"/>
      <c r="C441" s="71"/>
      <c r="D441" s="71"/>
      <c r="E441" s="72"/>
      <c r="F441" s="73"/>
      <c r="G441" s="74"/>
      <c r="H441" s="75" t="str">
        <f t="shared" si="50"/>
        <v/>
      </c>
      <c r="I441" s="16" t="str">
        <f t="shared" si="51"/>
        <v/>
      </c>
      <c r="J441" s="76" t="str">
        <f t="shared" si="52"/>
        <v/>
      </c>
      <c r="K441" s="77" t="str">
        <f t="shared" si="53"/>
        <v/>
      </c>
      <c r="L441" s="78" t="str">
        <f t="shared" si="54"/>
        <v/>
      </c>
      <c r="M441" s="4"/>
      <c r="N441" s="79">
        <f>IF(OR($A441="",$B441=""),0,IF(COUNTIFS($A$5:$A441,$A441,$B$5:$B441,$B441)=1,1,0))</f>
        <v>0</v>
      </c>
      <c r="O441" s="79" t="str">
        <f t="shared" si="55"/>
        <v/>
      </c>
      <c r="P441" s="79" t="str">
        <f t="shared" si="56"/>
        <v/>
      </c>
      <c r="AL441" s="89" t="str">
        <f t="shared" ca="1" si="57"/>
        <v/>
      </c>
    </row>
    <row r="442" spans="1:38" x14ac:dyDescent="0.3">
      <c r="A442" s="70"/>
      <c r="B442" s="71"/>
      <c r="C442" s="71"/>
      <c r="D442" s="71"/>
      <c r="E442" s="72"/>
      <c r="F442" s="73"/>
      <c r="G442" s="74"/>
      <c r="H442" s="75" t="str">
        <f t="shared" si="50"/>
        <v/>
      </c>
      <c r="I442" s="16" t="str">
        <f t="shared" si="51"/>
        <v/>
      </c>
      <c r="J442" s="76" t="str">
        <f t="shared" si="52"/>
        <v/>
      </c>
      <c r="K442" s="77" t="str">
        <f t="shared" si="53"/>
        <v/>
      </c>
      <c r="L442" s="78" t="str">
        <f t="shared" si="54"/>
        <v/>
      </c>
      <c r="M442" s="4"/>
      <c r="N442" s="79">
        <f>IF(OR($A442="",$B442=""),0,IF(COUNTIFS($A$5:$A442,$A442,$B$5:$B442,$B442)=1,1,0))</f>
        <v>0</v>
      </c>
      <c r="O442" s="79" t="str">
        <f t="shared" si="55"/>
        <v/>
      </c>
      <c r="P442" s="79" t="str">
        <f t="shared" si="56"/>
        <v/>
      </c>
      <c r="AL442" s="89" t="str">
        <f t="shared" ca="1" si="57"/>
        <v/>
      </c>
    </row>
    <row r="443" spans="1:38" x14ac:dyDescent="0.3">
      <c r="A443" s="70"/>
      <c r="B443" s="71"/>
      <c r="C443" s="71"/>
      <c r="D443" s="71"/>
      <c r="E443" s="72"/>
      <c r="F443" s="73"/>
      <c r="G443" s="74"/>
      <c r="H443" s="75" t="str">
        <f t="shared" si="50"/>
        <v/>
      </c>
      <c r="I443" s="16" t="str">
        <f t="shared" si="51"/>
        <v/>
      </c>
      <c r="J443" s="76" t="str">
        <f t="shared" si="52"/>
        <v/>
      </c>
      <c r="K443" s="77" t="str">
        <f t="shared" si="53"/>
        <v/>
      </c>
      <c r="L443" s="78" t="str">
        <f t="shared" si="54"/>
        <v/>
      </c>
      <c r="M443" s="4"/>
      <c r="N443" s="79">
        <f>IF(OR($A443="",$B443=""),0,IF(COUNTIFS($A$5:$A443,$A443,$B$5:$B443,$B443)=1,1,0))</f>
        <v>0</v>
      </c>
      <c r="O443" s="79" t="str">
        <f t="shared" si="55"/>
        <v/>
      </c>
      <c r="P443" s="79" t="str">
        <f t="shared" si="56"/>
        <v/>
      </c>
      <c r="AL443" s="89" t="str">
        <f t="shared" ca="1" si="57"/>
        <v/>
      </c>
    </row>
    <row r="444" spans="1:38" x14ac:dyDescent="0.3">
      <c r="A444" s="70"/>
      <c r="B444" s="71"/>
      <c r="C444" s="71"/>
      <c r="D444" s="71"/>
      <c r="E444" s="72"/>
      <c r="F444" s="73"/>
      <c r="G444" s="74"/>
      <c r="H444" s="75" t="str">
        <f t="shared" si="50"/>
        <v/>
      </c>
      <c r="I444" s="16" t="str">
        <f t="shared" si="51"/>
        <v/>
      </c>
      <c r="J444" s="76" t="str">
        <f t="shared" si="52"/>
        <v/>
      </c>
      <c r="K444" s="77" t="str">
        <f t="shared" si="53"/>
        <v/>
      </c>
      <c r="L444" s="78" t="str">
        <f t="shared" si="54"/>
        <v/>
      </c>
      <c r="M444" s="4"/>
      <c r="N444" s="79">
        <f>IF(OR($A444="",$B444=""),0,IF(COUNTIFS($A$5:$A444,$A444,$B$5:$B444,$B444)=1,1,0))</f>
        <v>0</v>
      </c>
      <c r="O444" s="79" t="str">
        <f t="shared" si="55"/>
        <v/>
      </c>
      <c r="P444" s="79" t="str">
        <f t="shared" si="56"/>
        <v/>
      </c>
      <c r="AL444" s="89" t="str">
        <f t="shared" ca="1" si="57"/>
        <v/>
      </c>
    </row>
    <row r="445" spans="1:38" x14ac:dyDescent="0.3">
      <c r="A445" s="70"/>
      <c r="B445" s="71"/>
      <c r="C445" s="71"/>
      <c r="D445" s="71"/>
      <c r="E445" s="72"/>
      <c r="F445" s="73"/>
      <c r="G445" s="74"/>
      <c r="H445" s="75" t="str">
        <f t="shared" si="50"/>
        <v/>
      </c>
      <c r="I445" s="16" t="str">
        <f t="shared" si="51"/>
        <v/>
      </c>
      <c r="J445" s="76" t="str">
        <f t="shared" si="52"/>
        <v/>
      </c>
      <c r="K445" s="77" t="str">
        <f t="shared" si="53"/>
        <v/>
      </c>
      <c r="L445" s="78" t="str">
        <f t="shared" si="54"/>
        <v/>
      </c>
      <c r="M445" s="4"/>
      <c r="N445" s="79">
        <f>IF(OR($A445="",$B445=""),0,IF(COUNTIFS($A$5:$A445,$A445,$B$5:$B445,$B445)=1,1,0))</f>
        <v>0</v>
      </c>
      <c r="O445" s="79" t="str">
        <f t="shared" si="55"/>
        <v/>
      </c>
      <c r="P445" s="79" t="str">
        <f t="shared" si="56"/>
        <v/>
      </c>
      <c r="AL445" s="89" t="str">
        <f t="shared" ca="1" si="57"/>
        <v/>
      </c>
    </row>
    <row r="446" spans="1:38" x14ac:dyDescent="0.3">
      <c r="A446" s="70"/>
      <c r="B446" s="71"/>
      <c r="C446" s="71"/>
      <c r="D446" s="71"/>
      <c r="E446" s="72"/>
      <c r="F446" s="73"/>
      <c r="G446" s="74"/>
      <c r="H446" s="75" t="str">
        <f t="shared" si="50"/>
        <v/>
      </c>
      <c r="I446" s="16" t="str">
        <f t="shared" si="51"/>
        <v/>
      </c>
      <c r="J446" s="76" t="str">
        <f t="shared" si="52"/>
        <v/>
      </c>
      <c r="K446" s="77" t="str">
        <f t="shared" si="53"/>
        <v/>
      </c>
      <c r="L446" s="78" t="str">
        <f t="shared" si="54"/>
        <v/>
      </c>
      <c r="M446" s="4"/>
      <c r="N446" s="79">
        <f>IF(OR($A446="",$B446=""),0,IF(COUNTIFS($A$5:$A446,$A446,$B$5:$B446,$B446)=1,1,0))</f>
        <v>0</v>
      </c>
      <c r="O446" s="79" t="str">
        <f t="shared" si="55"/>
        <v/>
      </c>
      <c r="P446" s="79" t="str">
        <f t="shared" si="56"/>
        <v/>
      </c>
      <c r="AL446" s="89" t="str">
        <f t="shared" ca="1" si="57"/>
        <v/>
      </c>
    </row>
    <row r="447" spans="1:38" x14ac:dyDescent="0.3">
      <c r="A447" s="70"/>
      <c r="B447" s="71"/>
      <c r="C447" s="71"/>
      <c r="D447" s="71"/>
      <c r="E447" s="72"/>
      <c r="F447" s="73"/>
      <c r="G447" s="74"/>
      <c r="H447" s="75" t="str">
        <f t="shared" si="50"/>
        <v/>
      </c>
      <c r="I447" s="16" t="str">
        <f t="shared" si="51"/>
        <v/>
      </c>
      <c r="J447" s="76" t="str">
        <f t="shared" si="52"/>
        <v/>
      </c>
      <c r="K447" s="77" t="str">
        <f t="shared" si="53"/>
        <v/>
      </c>
      <c r="L447" s="78" t="str">
        <f t="shared" si="54"/>
        <v/>
      </c>
      <c r="M447" s="4"/>
      <c r="N447" s="79">
        <f>IF(OR($A447="",$B447=""),0,IF(COUNTIFS($A$5:$A447,$A447,$B$5:$B447,$B447)=1,1,0))</f>
        <v>0</v>
      </c>
      <c r="O447" s="79" t="str">
        <f t="shared" si="55"/>
        <v/>
      </c>
      <c r="P447" s="79" t="str">
        <f t="shared" si="56"/>
        <v/>
      </c>
      <c r="AL447" s="89" t="str">
        <f t="shared" ca="1" si="57"/>
        <v/>
      </c>
    </row>
    <row r="448" spans="1:38" x14ac:dyDescent="0.3">
      <c r="A448" s="70"/>
      <c r="B448" s="71"/>
      <c r="C448" s="71"/>
      <c r="D448" s="71"/>
      <c r="E448" s="72"/>
      <c r="F448" s="73"/>
      <c r="G448" s="74"/>
      <c r="H448" s="75" t="str">
        <f t="shared" si="50"/>
        <v/>
      </c>
      <c r="I448" s="16" t="str">
        <f t="shared" si="51"/>
        <v/>
      </c>
      <c r="J448" s="76" t="str">
        <f t="shared" si="52"/>
        <v/>
      </c>
      <c r="K448" s="77" t="str">
        <f t="shared" si="53"/>
        <v/>
      </c>
      <c r="L448" s="78" t="str">
        <f t="shared" si="54"/>
        <v/>
      </c>
      <c r="M448" s="4"/>
      <c r="N448" s="79">
        <f>IF(OR($A448="",$B448=""),0,IF(COUNTIFS($A$5:$A448,$A448,$B$5:$B448,$B448)=1,1,0))</f>
        <v>0</v>
      </c>
      <c r="O448" s="79" t="str">
        <f t="shared" si="55"/>
        <v/>
      </c>
      <c r="P448" s="79" t="str">
        <f t="shared" si="56"/>
        <v/>
      </c>
      <c r="AL448" s="89" t="str">
        <f t="shared" ca="1" si="57"/>
        <v/>
      </c>
    </row>
    <row r="449" spans="1:38" x14ac:dyDescent="0.3">
      <c r="A449" s="70"/>
      <c r="B449" s="71"/>
      <c r="C449" s="71"/>
      <c r="D449" s="71"/>
      <c r="E449" s="72"/>
      <c r="F449" s="73"/>
      <c r="G449" s="74"/>
      <c r="H449" s="75" t="str">
        <f t="shared" si="50"/>
        <v/>
      </c>
      <c r="I449" s="16" t="str">
        <f t="shared" si="51"/>
        <v/>
      </c>
      <c r="J449" s="76" t="str">
        <f t="shared" si="52"/>
        <v/>
      </c>
      <c r="K449" s="77" t="str">
        <f t="shared" si="53"/>
        <v/>
      </c>
      <c r="L449" s="78" t="str">
        <f t="shared" si="54"/>
        <v/>
      </c>
      <c r="M449" s="4"/>
      <c r="N449" s="79">
        <f>IF(OR($A449="",$B449=""),0,IF(COUNTIFS($A$5:$A449,$A449,$B$5:$B449,$B449)=1,1,0))</f>
        <v>0</v>
      </c>
      <c r="O449" s="79" t="str">
        <f t="shared" si="55"/>
        <v/>
      </c>
      <c r="P449" s="79" t="str">
        <f t="shared" si="56"/>
        <v/>
      </c>
      <c r="AL449" s="89" t="str">
        <f t="shared" ca="1" si="57"/>
        <v/>
      </c>
    </row>
    <row r="450" spans="1:38" x14ac:dyDescent="0.3">
      <c r="A450" s="70"/>
      <c r="B450" s="71"/>
      <c r="C450" s="71"/>
      <c r="D450" s="71"/>
      <c r="E450" s="72"/>
      <c r="F450" s="73"/>
      <c r="G450" s="74"/>
      <c r="H450" s="75" t="str">
        <f t="shared" si="50"/>
        <v/>
      </c>
      <c r="I450" s="16" t="str">
        <f t="shared" si="51"/>
        <v/>
      </c>
      <c r="J450" s="76" t="str">
        <f t="shared" si="52"/>
        <v/>
      </c>
      <c r="K450" s="77" t="str">
        <f t="shared" si="53"/>
        <v/>
      </c>
      <c r="L450" s="78" t="str">
        <f t="shared" si="54"/>
        <v/>
      </c>
      <c r="M450" s="4"/>
      <c r="N450" s="79">
        <f>IF(OR($A450="",$B450=""),0,IF(COUNTIFS($A$5:$A450,$A450,$B$5:$B450,$B450)=1,1,0))</f>
        <v>0</v>
      </c>
      <c r="O450" s="79" t="str">
        <f t="shared" si="55"/>
        <v/>
      </c>
      <c r="P450" s="79" t="str">
        <f t="shared" si="56"/>
        <v/>
      </c>
      <c r="AL450" s="89" t="str">
        <f t="shared" ca="1" si="57"/>
        <v/>
      </c>
    </row>
    <row r="451" spans="1:38" x14ac:dyDescent="0.3">
      <c r="A451" s="70"/>
      <c r="B451" s="71"/>
      <c r="C451" s="71"/>
      <c r="D451" s="71"/>
      <c r="E451" s="72"/>
      <c r="F451" s="73"/>
      <c r="G451" s="74"/>
      <c r="H451" s="75" t="str">
        <f t="shared" si="50"/>
        <v/>
      </c>
      <c r="I451" s="16" t="str">
        <f t="shared" si="51"/>
        <v/>
      </c>
      <c r="J451" s="76" t="str">
        <f t="shared" si="52"/>
        <v/>
      </c>
      <c r="K451" s="77" t="str">
        <f t="shared" si="53"/>
        <v/>
      </c>
      <c r="L451" s="78" t="str">
        <f t="shared" si="54"/>
        <v/>
      </c>
      <c r="M451" s="4"/>
      <c r="N451" s="79">
        <f>IF(OR($A451="",$B451=""),0,IF(COUNTIFS($A$5:$A451,$A451,$B$5:$B451,$B451)=1,1,0))</f>
        <v>0</v>
      </c>
      <c r="O451" s="79" t="str">
        <f t="shared" si="55"/>
        <v/>
      </c>
      <c r="P451" s="79" t="str">
        <f t="shared" si="56"/>
        <v/>
      </c>
      <c r="AL451" s="89" t="str">
        <f t="shared" ca="1" si="57"/>
        <v/>
      </c>
    </row>
    <row r="452" spans="1:38" x14ac:dyDescent="0.3">
      <c r="A452" s="70"/>
      <c r="B452" s="71"/>
      <c r="C452" s="71"/>
      <c r="D452" s="71"/>
      <c r="E452" s="72"/>
      <c r="F452" s="73"/>
      <c r="G452" s="74"/>
      <c r="H452" s="75" t="str">
        <f t="shared" si="50"/>
        <v/>
      </c>
      <c r="I452" s="16" t="str">
        <f t="shared" si="51"/>
        <v/>
      </c>
      <c r="J452" s="76" t="str">
        <f t="shared" si="52"/>
        <v/>
      </c>
      <c r="K452" s="77" t="str">
        <f t="shared" si="53"/>
        <v/>
      </c>
      <c r="L452" s="78" t="str">
        <f t="shared" si="54"/>
        <v/>
      </c>
      <c r="M452" s="4"/>
      <c r="N452" s="79">
        <f>IF(OR($A452="",$B452=""),0,IF(COUNTIFS($A$5:$A452,$A452,$B$5:$B452,$B452)=1,1,0))</f>
        <v>0</v>
      </c>
      <c r="O452" s="79" t="str">
        <f t="shared" si="55"/>
        <v/>
      </c>
      <c r="P452" s="79" t="str">
        <f t="shared" si="56"/>
        <v/>
      </c>
      <c r="AL452" s="89" t="str">
        <f t="shared" ca="1" si="57"/>
        <v/>
      </c>
    </row>
    <row r="453" spans="1:38" x14ac:dyDescent="0.3">
      <c r="A453" s="70"/>
      <c r="B453" s="71"/>
      <c r="C453" s="71"/>
      <c r="D453" s="71"/>
      <c r="E453" s="72"/>
      <c r="F453" s="73"/>
      <c r="G453" s="74"/>
      <c r="H453" s="75" t="str">
        <f t="shared" ref="H453:H516" si="58">IF(OR($A453="",$B453="",$I453=""),"",SUMPRODUCT(($A$5:$A$604=$A453)*($B$5:$B$604=$B453)*($I$5:$I$604&lt;&gt;"")*($I$5:$I$604&lt;$I453))+SUMPRODUCT(($A$5:$A$604=$A453)*($B$5:$B$604=$B453)*($I$5:$I$604=$I453)*(ROW($I$5:$I$604)&lt;=ROW($I453))))</f>
        <v/>
      </c>
      <c r="I453" s="16" t="str">
        <f t="shared" ref="I453:I516" si="59">IF(TRIM($C453&amp;$D453)="","",PROPER(TRIM($C453))&amp;" "&amp;UPPER(TRIM($D453)))</f>
        <v/>
      </c>
      <c r="J453" s="76" t="str">
        <f t="shared" ref="J453:J516" si="60">IF(OR($A453="",$B453="",$H453=""),"",$A453&amp;"|"&amp;$B453&amp;"|"&amp;$H453)</f>
        <v/>
      </c>
      <c r="K453" s="77" t="str">
        <f t="shared" ref="K453:K516" si="61">IF(COUNTA($A453:$E453)=0,"",IF($A453="","← Nurodykite lygą (A / B / C)",IF($B453="","← Nurodykite komandą",IF(TRIM($C453)="","← Nurodykite vardą",IF(TRIM($D453)="","← Nurodykite pavardę",IF(NOT(ISNUMBER($E453)),"← Nurodykite Hcp (jei neturi – 0)",IF(AND(OR($A453="B",$A453="C"),NOT(OR($F453="Rytai",$F453="Vakarai"))),"← Nurodykite pogrupį (Rytai / Vakarai)",IF(AND($A453="A",OR($F453="Rytai",$F453="Vakarai")),"← A lygos komandos į pogrupius neskirstomos",IF(COUNTIFS($A$5:$A$604,$A453,$B$5:$B$604,$B453,$F$5:$F$604,"&lt;&gt;"&amp;$F453)&gt;0,"← Šios komandos pogrupis nurodytas nevienodai",IF($H453&gt;8,"← Šioje komandoje jau daugiau nei 8 žaidėjai",""))))))))))</f>
        <v/>
      </c>
      <c r="L453" s="78" t="str">
        <f t="shared" ref="L453:L516" si="62">IF($I453="","",IF(COUNTIF($I$5:$I$604,$I453)&gt;1,"ℹ tokių pačių vardų sąraše: "&amp;COUNTIF($I$5:$I$604,$I453),IF(AND($B453&lt;&gt;"",COUNTIFS($A$5:$A$604,$A453,$B$5:$B$604,$B453)&lt;3),"ℹ šioje komandoje tik "&amp;COUNTIFS($A$5:$A$604,$A453,$B$5:$B$604,$B453)&amp;" žaid. – ar ne rašybos klaida?","")))</f>
        <v/>
      </c>
      <c r="M453" s="4"/>
      <c r="N453" s="79">
        <f>IF(OR($A453="",$B453=""),0,IF(COUNTIFS($A$5:$A453,$A453,$B$5:$B453,$B453)=1,1,0))</f>
        <v>0</v>
      </c>
      <c r="O453" s="79" t="str">
        <f t="shared" ref="O453:O516" si="63">IF($N453&lt;&gt;1,"",1+SUMPRODUCT(($A$5:$A$604=$A453)*($B$5:$B$604&lt;$B453)*($N$5:$N$604=1)))</f>
        <v/>
      </c>
      <c r="P453" s="79" t="str">
        <f t="shared" ref="P453:P516" si="64">IF(OR($N453&lt;&gt;1,$A453&lt;&gt;Lyga,AND(Pogrupis&lt;&gt;"",$F453&lt;&gt;Pogrupis)),"",1+SUMPRODUCT(($A$5:$A$604=Lyga)*($N$5:$N$604=1)*($B$5:$B$604&lt;$B453)*((($F$5:$F$604=Pogrupis)+(Pogrupis=""))&gt;0)))</f>
        <v/>
      </c>
      <c r="AL453" s="89" t="str">
        <f t="shared" ref="AL453:AL516" ca="1" si="65">IF(NOT(OR($A453="A",$A453="B",$A453="C")),"","ADMIN_Duomenys!$"&amp;IF($A453="A","W",IF($A453="B","Y","AA"))&amp;"$5:$"&amp;IF($A453="A","W",IF($A453="B","Y","AA"))&amp;"$"&amp;(4+MAX(1,COUNTIF(INDIRECT("ADMIN_Duomenys!$"&amp;IF($A453="A","W",IF($A453="B","Y","AA"))&amp;"$5:$"&amp;IF($A453="A","W",IF($A453="B","Y","AA"))&amp;"$44"),"?*"))))</f>
        <v/>
      </c>
    </row>
    <row r="454" spans="1:38" x14ac:dyDescent="0.3">
      <c r="A454" s="70"/>
      <c r="B454" s="71"/>
      <c r="C454" s="71"/>
      <c r="D454" s="71"/>
      <c r="E454" s="72"/>
      <c r="F454" s="73"/>
      <c r="G454" s="74"/>
      <c r="H454" s="75" t="str">
        <f t="shared" si="58"/>
        <v/>
      </c>
      <c r="I454" s="16" t="str">
        <f t="shared" si="59"/>
        <v/>
      </c>
      <c r="J454" s="76" t="str">
        <f t="shared" si="60"/>
        <v/>
      </c>
      <c r="K454" s="77" t="str">
        <f t="shared" si="61"/>
        <v/>
      </c>
      <c r="L454" s="78" t="str">
        <f t="shared" si="62"/>
        <v/>
      </c>
      <c r="M454" s="4"/>
      <c r="N454" s="79">
        <f>IF(OR($A454="",$B454=""),0,IF(COUNTIFS($A$5:$A454,$A454,$B$5:$B454,$B454)=1,1,0))</f>
        <v>0</v>
      </c>
      <c r="O454" s="79" t="str">
        <f t="shared" si="63"/>
        <v/>
      </c>
      <c r="P454" s="79" t="str">
        <f t="shared" si="64"/>
        <v/>
      </c>
      <c r="AL454" s="89" t="str">
        <f t="shared" ca="1" si="65"/>
        <v/>
      </c>
    </row>
    <row r="455" spans="1:38" x14ac:dyDescent="0.3">
      <c r="A455" s="70"/>
      <c r="B455" s="71"/>
      <c r="C455" s="71"/>
      <c r="D455" s="71"/>
      <c r="E455" s="72"/>
      <c r="F455" s="73"/>
      <c r="G455" s="74"/>
      <c r="H455" s="75" t="str">
        <f t="shared" si="58"/>
        <v/>
      </c>
      <c r="I455" s="16" t="str">
        <f t="shared" si="59"/>
        <v/>
      </c>
      <c r="J455" s="76" t="str">
        <f t="shared" si="60"/>
        <v/>
      </c>
      <c r="K455" s="77" t="str">
        <f t="shared" si="61"/>
        <v/>
      </c>
      <c r="L455" s="78" t="str">
        <f t="shared" si="62"/>
        <v/>
      </c>
      <c r="M455" s="4"/>
      <c r="N455" s="79">
        <f>IF(OR($A455="",$B455=""),0,IF(COUNTIFS($A$5:$A455,$A455,$B$5:$B455,$B455)=1,1,0))</f>
        <v>0</v>
      </c>
      <c r="O455" s="79" t="str">
        <f t="shared" si="63"/>
        <v/>
      </c>
      <c r="P455" s="79" t="str">
        <f t="shared" si="64"/>
        <v/>
      </c>
      <c r="AL455" s="89" t="str">
        <f t="shared" ca="1" si="65"/>
        <v/>
      </c>
    </row>
    <row r="456" spans="1:38" x14ac:dyDescent="0.3">
      <c r="A456" s="70"/>
      <c r="B456" s="71"/>
      <c r="C456" s="71"/>
      <c r="D456" s="71"/>
      <c r="E456" s="72"/>
      <c r="F456" s="73"/>
      <c r="G456" s="74"/>
      <c r="H456" s="75" t="str">
        <f t="shared" si="58"/>
        <v/>
      </c>
      <c r="I456" s="16" t="str">
        <f t="shared" si="59"/>
        <v/>
      </c>
      <c r="J456" s="76" t="str">
        <f t="shared" si="60"/>
        <v/>
      </c>
      <c r="K456" s="77" t="str">
        <f t="shared" si="61"/>
        <v/>
      </c>
      <c r="L456" s="78" t="str">
        <f t="shared" si="62"/>
        <v/>
      </c>
      <c r="M456" s="4"/>
      <c r="N456" s="79">
        <f>IF(OR($A456="",$B456=""),0,IF(COUNTIFS($A$5:$A456,$A456,$B$5:$B456,$B456)=1,1,0))</f>
        <v>0</v>
      </c>
      <c r="O456" s="79" t="str">
        <f t="shared" si="63"/>
        <v/>
      </c>
      <c r="P456" s="79" t="str">
        <f t="shared" si="64"/>
        <v/>
      </c>
      <c r="AL456" s="89" t="str">
        <f t="shared" ca="1" si="65"/>
        <v/>
      </c>
    </row>
    <row r="457" spans="1:38" x14ac:dyDescent="0.3">
      <c r="A457" s="70"/>
      <c r="B457" s="71"/>
      <c r="C457" s="71"/>
      <c r="D457" s="71"/>
      <c r="E457" s="72"/>
      <c r="F457" s="73"/>
      <c r="G457" s="74"/>
      <c r="H457" s="75" t="str">
        <f t="shared" si="58"/>
        <v/>
      </c>
      <c r="I457" s="16" t="str">
        <f t="shared" si="59"/>
        <v/>
      </c>
      <c r="J457" s="76" t="str">
        <f t="shared" si="60"/>
        <v/>
      </c>
      <c r="K457" s="77" t="str">
        <f t="shared" si="61"/>
        <v/>
      </c>
      <c r="L457" s="78" t="str">
        <f t="shared" si="62"/>
        <v/>
      </c>
      <c r="M457" s="4"/>
      <c r="N457" s="79">
        <f>IF(OR($A457="",$B457=""),0,IF(COUNTIFS($A$5:$A457,$A457,$B$5:$B457,$B457)=1,1,0))</f>
        <v>0</v>
      </c>
      <c r="O457" s="79" t="str">
        <f t="shared" si="63"/>
        <v/>
      </c>
      <c r="P457" s="79" t="str">
        <f t="shared" si="64"/>
        <v/>
      </c>
      <c r="AL457" s="89" t="str">
        <f t="shared" ca="1" si="65"/>
        <v/>
      </c>
    </row>
    <row r="458" spans="1:38" x14ac:dyDescent="0.3">
      <c r="A458" s="70"/>
      <c r="B458" s="71"/>
      <c r="C458" s="71"/>
      <c r="D458" s="71"/>
      <c r="E458" s="72"/>
      <c r="F458" s="73"/>
      <c r="G458" s="74"/>
      <c r="H458" s="75" t="str">
        <f t="shared" si="58"/>
        <v/>
      </c>
      <c r="I458" s="16" t="str">
        <f t="shared" si="59"/>
        <v/>
      </c>
      <c r="J458" s="76" t="str">
        <f t="shared" si="60"/>
        <v/>
      </c>
      <c r="K458" s="77" t="str">
        <f t="shared" si="61"/>
        <v/>
      </c>
      <c r="L458" s="78" t="str">
        <f t="shared" si="62"/>
        <v/>
      </c>
      <c r="M458" s="4"/>
      <c r="N458" s="79">
        <f>IF(OR($A458="",$B458=""),0,IF(COUNTIFS($A$5:$A458,$A458,$B$5:$B458,$B458)=1,1,0))</f>
        <v>0</v>
      </c>
      <c r="O458" s="79" t="str">
        <f t="shared" si="63"/>
        <v/>
      </c>
      <c r="P458" s="79" t="str">
        <f t="shared" si="64"/>
        <v/>
      </c>
      <c r="AL458" s="89" t="str">
        <f t="shared" ca="1" si="65"/>
        <v/>
      </c>
    </row>
    <row r="459" spans="1:38" x14ac:dyDescent="0.3">
      <c r="A459" s="70"/>
      <c r="B459" s="71"/>
      <c r="C459" s="71"/>
      <c r="D459" s="71"/>
      <c r="E459" s="72"/>
      <c r="F459" s="73"/>
      <c r="G459" s="74"/>
      <c r="H459" s="75" t="str">
        <f t="shared" si="58"/>
        <v/>
      </c>
      <c r="I459" s="16" t="str">
        <f t="shared" si="59"/>
        <v/>
      </c>
      <c r="J459" s="76" t="str">
        <f t="shared" si="60"/>
        <v/>
      </c>
      <c r="K459" s="77" t="str">
        <f t="shared" si="61"/>
        <v/>
      </c>
      <c r="L459" s="78" t="str">
        <f t="shared" si="62"/>
        <v/>
      </c>
      <c r="M459" s="4"/>
      <c r="N459" s="79">
        <f>IF(OR($A459="",$B459=""),0,IF(COUNTIFS($A$5:$A459,$A459,$B$5:$B459,$B459)=1,1,0))</f>
        <v>0</v>
      </c>
      <c r="O459" s="79" t="str">
        <f t="shared" si="63"/>
        <v/>
      </c>
      <c r="P459" s="79" t="str">
        <f t="shared" si="64"/>
        <v/>
      </c>
      <c r="AL459" s="89" t="str">
        <f t="shared" ca="1" si="65"/>
        <v/>
      </c>
    </row>
    <row r="460" spans="1:38" x14ac:dyDescent="0.3">
      <c r="A460" s="70"/>
      <c r="B460" s="71"/>
      <c r="C460" s="71"/>
      <c r="D460" s="71"/>
      <c r="E460" s="72"/>
      <c r="F460" s="73"/>
      <c r="G460" s="74"/>
      <c r="H460" s="75" t="str">
        <f t="shared" si="58"/>
        <v/>
      </c>
      <c r="I460" s="16" t="str">
        <f t="shared" si="59"/>
        <v/>
      </c>
      <c r="J460" s="76" t="str">
        <f t="shared" si="60"/>
        <v/>
      </c>
      <c r="K460" s="77" t="str">
        <f t="shared" si="61"/>
        <v/>
      </c>
      <c r="L460" s="78" t="str">
        <f t="shared" si="62"/>
        <v/>
      </c>
      <c r="M460" s="4"/>
      <c r="N460" s="79">
        <f>IF(OR($A460="",$B460=""),0,IF(COUNTIFS($A$5:$A460,$A460,$B$5:$B460,$B460)=1,1,0))</f>
        <v>0</v>
      </c>
      <c r="O460" s="79" t="str">
        <f t="shared" si="63"/>
        <v/>
      </c>
      <c r="P460" s="79" t="str">
        <f t="shared" si="64"/>
        <v/>
      </c>
      <c r="AL460" s="89" t="str">
        <f t="shared" ca="1" si="65"/>
        <v/>
      </c>
    </row>
    <row r="461" spans="1:38" x14ac:dyDescent="0.3">
      <c r="A461" s="70"/>
      <c r="B461" s="71"/>
      <c r="C461" s="71"/>
      <c r="D461" s="71"/>
      <c r="E461" s="72"/>
      <c r="F461" s="73"/>
      <c r="G461" s="74"/>
      <c r="H461" s="75" t="str">
        <f t="shared" si="58"/>
        <v/>
      </c>
      <c r="I461" s="16" t="str">
        <f t="shared" si="59"/>
        <v/>
      </c>
      <c r="J461" s="76" t="str">
        <f t="shared" si="60"/>
        <v/>
      </c>
      <c r="K461" s="77" t="str">
        <f t="shared" si="61"/>
        <v/>
      </c>
      <c r="L461" s="78" t="str">
        <f t="shared" si="62"/>
        <v/>
      </c>
      <c r="M461" s="4"/>
      <c r="N461" s="79">
        <f>IF(OR($A461="",$B461=""),0,IF(COUNTIFS($A$5:$A461,$A461,$B$5:$B461,$B461)=1,1,0))</f>
        <v>0</v>
      </c>
      <c r="O461" s="79" t="str">
        <f t="shared" si="63"/>
        <v/>
      </c>
      <c r="P461" s="79" t="str">
        <f t="shared" si="64"/>
        <v/>
      </c>
      <c r="AL461" s="89" t="str">
        <f t="shared" ca="1" si="65"/>
        <v/>
      </c>
    </row>
    <row r="462" spans="1:38" x14ac:dyDescent="0.3">
      <c r="A462" s="70"/>
      <c r="B462" s="71"/>
      <c r="C462" s="71"/>
      <c r="D462" s="71"/>
      <c r="E462" s="72"/>
      <c r="F462" s="73"/>
      <c r="G462" s="74"/>
      <c r="H462" s="75" t="str">
        <f t="shared" si="58"/>
        <v/>
      </c>
      <c r="I462" s="16" t="str">
        <f t="shared" si="59"/>
        <v/>
      </c>
      <c r="J462" s="76" t="str">
        <f t="shared" si="60"/>
        <v/>
      </c>
      <c r="K462" s="77" t="str">
        <f t="shared" si="61"/>
        <v/>
      </c>
      <c r="L462" s="78" t="str">
        <f t="shared" si="62"/>
        <v/>
      </c>
      <c r="M462" s="4"/>
      <c r="N462" s="79">
        <f>IF(OR($A462="",$B462=""),0,IF(COUNTIFS($A$5:$A462,$A462,$B$5:$B462,$B462)=1,1,0))</f>
        <v>0</v>
      </c>
      <c r="O462" s="79" t="str">
        <f t="shared" si="63"/>
        <v/>
      </c>
      <c r="P462" s="79" t="str">
        <f t="shared" si="64"/>
        <v/>
      </c>
      <c r="AL462" s="89" t="str">
        <f t="shared" ca="1" si="65"/>
        <v/>
      </c>
    </row>
    <row r="463" spans="1:38" x14ac:dyDescent="0.3">
      <c r="A463" s="70"/>
      <c r="B463" s="71"/>
      <c r="C463" s="71"/>
      <c r="D463" s="71"/>
      <c r="E463" s="72"/>
      <c r="F463" s="73"/>
      <c r="G463" s="74"/>
      <c r="H463" s="75" t="str">
        <f t="shared" si="58"/>
        <v/>
      </c>
      <c r="I463" s="16" t="str">
        <f t="shared" si="59"/>
        <v/>
      </c>
      <c r="J463" s="76" t="str">
        <f t="shared" si="60"/>
        <v/>
      </c>
      <c r="K463" s="77" t="str">
        <f t="shared" si="61"/>
        <v/>
      </c>
      <c r="L463" s="78" t="str">
        <f t="shared" si="62"/>
        <v/>
      </c>
      <c r="M463" s="4"/>
      <c r="N463" s="79">
        <f>IF(OR($A463="",$B463=""),0,IF(COUNTIFS($A$5:$A463,$A463,$B$5:$B463,$B463)=1,1,0))</f>
        <v>0</v>
      </c>
      <c r="O463" s="79" t="str">
        <f t="shared" si="63"/>
        <v/>
      </c>
      <c r="P463" s="79" t="str">
        <f t="shared" si="64"/>
        <v/>
      </c>
      <c r="AL463" s="89" t="str">
        <f t="shared" ca="1" si="65"/>
        <v/>
      </c>
    </row>
    <row r="464" spans="1:38" x14ac:dyDescent="0.3">
      <c r="A464" s="70"/>
      <c r="B464" s="71"/>
      <c r="C464" s="71"/>
      <c r="D464" s="71"/>
      <c r="E464" s="72"/>
      <c r="F464" s="73"/>
      <c r="G464" s="74"/>
      <c r="H464" s="75" t="str">
        <f t="shared" si="58"/>
        <v/>
      </c>
      <c r="I464" s="16" t="str">
        <f t="shared" si="59"/>
        <v/>
      </c>
      <c r="J464" s="76" t="str">
        <f t="shared" si="60"/>
        <v/>
      </c>
      <c r="K464" s="77" t="str">
        <f t="shared" si="61"/>
        <v/>
      </c>
      <c r="L464" s="78" t="str">
        <f t="shared" si="62"/>
        <v/>
      </c>
      <c r="M464" s="4"/>
      <c r="N464" s="79">
        <f>IF(OR($A464="",$B464=""),0,IF(COUNTIFS($A$5:$A464,$A464,$B$5:$B464,$B464)=1,1,0))</f>
        <v>0</v>
      </c>
      <c r="O464" s="79" t="str">
        <f t="shared" si="63"/>
        <v/>
      </c>
      <c r="P464" s="79" t="str">
        <f t="shared" si="64"/>
        <v/>
      </c>
      <c r="AL464" s="89" t="str">
        <f t="shared" ca="1" si="65"/>
        <v/>
      </c>
    </row>
    <row r="465" spans="1:38" x14ac:dyDescent="0.3">
      <c r="A465" s="70"/>
      <c r="B465" s="71"/>
      <c r="C465" s="71"/>
      <c r="D465" s="71"/>
      <c r="E465" s="72"/>
      <c r="F465" s="73"/>
      <c r="G465" s="74"/>
      <c r="H465" s="75" t="str">
        <f t="shared" si="58"/>
        <v/>
      </c>
      <c r="I465" s="16" t="str">
        <f t="shared" si="59"/>
        <v/>
      </c>
      <c r="J465" s="76" t="str">
        <f t="shared" si="60"/>
        <v/>
      </c>
      <c r="K465" s="77" t="str">
        <f t="shared" si="61"/>
        <v/>
      </c>
      <c r="L465" s="78" t="str">
        <f t="shared" si="62"/>
        <v/>
      </c>
      <c r="M465" s="4"/>
      <c r="N465" s="79">
        <f>IF(OR($A465="",$B465=""),0,IF(COUNTIFS($A$5:$A465,$A465,$B$5:$B465,$B465)=1,1,0))</f>
        <v>0</v>
      </c>
      <c r="O465" s="79" t="str">
        <f t="shared" si="63"/>
        <v/>
      </c>
      <c r="P465" s="79" t="str">
        <f t="shared" si="64"/>
        <v/>
      </c>
      <c r="AL465" s="89" t="str">
        <f t="shared" ca="1" si="65"/>
        <v/>
      </c>
    </row>
    <row r="466" spans="1:38" x14ac:dyDescent="0.3">
      <c r="A466" s="70"/>
      <c r="B466" s="71"/>
      <c r="C466" s="71"/>
      <c r="D466" s="71"/>
      <c r="E466" s="72"/>
      <c r="F466" s="73"/>
      <c r="G466" s="74"/>
      <c r="H466" s="75" t="str">
        <f t="shared" si="58"/>
        <v/>
      </c>
      <c r="I466" s="16" t="str">
        <f t="shared" si="59"/>
        <v/>
      </c>
      <c r="J466" s="76" t="str">
        <f t="shared" si="60"/>
        <v/>
      </c>
      <c r="K466" s="77" t="str">
        <f t="shared" si="61"/>
        <v/>
      </c>
      <c r="L466" s="78" t="str">
        <f t="shared" si="62"/>
        <v/>
      </c>
      <c r="M466" s="4"/>
      <c r="N466" s="79">
        <f>IF(OR($A466="",$B466=""),0,IF(COUNTIFS($A$5:$A466,$A466,$B$5:$B466,$B466)=1,1,0))</f>
        <v>0</v>
      </c>
      <c r="O466" s="79" t="str">
        <f t="shared" si="63"/>
        <v/>
      </c>
      <c r="P466" s="79" t="str">
        <f t="shared" si="64"/>
        <v/>
      </c>
      <c r="AL466" s="89" t="str">
        <f t="shared" ca="1" si="65"/>
        <v/>
      </c>
    </row>
    <row r="467" spans="1:38" x14ac:dyDescent="0.3">
      <c r="A467" s="70"/>
      <c r="B467" s="71"/>
      <c r="C467" s="71"/>
      <c r="D467" s="71"/>
      <c r="E467" s="72"/>
      <c r="F467" s="73"/>
      <c r="G467" s="74"/>
      <c r="H467" s="75" t="str">
        <f t="shared" si="58"/>
        <v/>
      </c>
      <c r="I467" s="16" t="str">
        <f t="shared" si="59"/>
        <v/>
      </c>
      <c r="J467" s="76" t="str">
        <f t="shared" si="60"/>
        <v/>
      </c>
      <c r="K467" s="77" t="str">
        <f t="shared" si="61"/>
        <v/>
      </c>
      <c r="L467" s="78" t="str">
        <f t="shared" si="62"/>
        <v/>
      </c>
      <c r="M467" s="4"/>
      <c r="N467" s="79">
        <f>IF(OR($A467="",$B467=""),0,IF(COUNTIFS($A$5:$A467,$A467,$B$5:$B467,$B467)=1,1,0))</f>
        <v>0</v>
      </c>
      <c r="O467" s="79" t="str">
        <f t="shared" si="63"/>
        <v/>
      </c>
      <c r="P467" s="79" t="str">
        <f t="shared" si="64"/>
        <v/>
      </c>
      <c r="AL467" s="89" t="str">
        <f t="shared" ca="1" si="65"/>
        <v/>
      </c>
    </row>
    <row r="468" spans="1:38" x14ac:dyDescent="0.3">
      <c r="A468" s="70"/>
      <c r="B468" s="71"/>
      <c r="C468" s="71"/>
      <c r="D468" s="71"/>
      <c r="E468" s="72"/>
      <c r="F468" s="73"/>
      <c r="G468" s="74"/>
      <c r="H468" s="75" t="str">
        <f t="shared" si="58"/>
        <v/>
      </c>
      <c r="I468" s="16" t="str">
        <f t="shared" si="59"/>
        <v/>
      </c>
      <c r="J468" s="76" t="str">
        <f t="shared" si="60"/>
        <v/>
      </c>
      <c r="K468" s="77" t="str">
        <f t="shared" si="61"/>
        <v/>
      </c>
      <c r="L468" s="78" t="str">
        <f t="shared" si="62"/>
        <v/>
      </c>
      <c r="M468" s="4"/>
      <c r="N468" s="79">
        <f>IF(OR($A468="",$B468=""),0,IF(COUNTIFS($A$5:$A468,$A468,$B$5:$B468,$B468)=1,1,0))</f>
        <v>0</v>
      </c>
      <c r="O468" s="79" t="str">
        <f t="shared" si="63"/>
        <v/>
      </c>
      <c r="P468" s="79" t="str">
        <f t="shared" si="64"/>
        <v/>
      </c>
      <c r="AL468" s="89" t="str">
        <f t="shared" ca="1" si="65"/>
        <v/>
      </c>
    </row>
    <row r="469" spans="1:38" x14ac:dyDescent="0.3">
      <c r="A469" s="70"/>
      <c r="B469" s="71"/>
      <c r="C469" s="71"/>
      <c r="D469" s="71"/>
      <c r="E469" s="72"/>
      <c r="F469" s="73"/>
      <c r="G469" s="74"/>
      <c r="H469" s="75" t="str">
        <f t="shared" si="58"/>
        <v/>
      </c>
      <c r="I469" s="16" t="str">
        <f t="shared" si="59"/>
        <v/>
      </c>
      <c r="J469" s="76" t="str">
        <f t="shared" si="60"/>
        <v/>
      </c>
      <c r="K469" s="77" t="str">
        <f t="shared" si="61"/>
        <v/>
      </c>
      <c r="L469" s="78" t="str">
        <f t="shared" si="62"/>
        <v/>
      </c>
      <c r="M469" s="4"/>
      <c r="N469" s="79">
        <f>IF(OR($A469="",$B469=""),0,IF(COUNTIFS($A$5:$A469,$A469,$B$5:$B469,$B469)=1,1,0))</f>
        <v>0</v>
      </c>
      <c r="O469" s="79" t="str">
        <f t="shared" si="63"/>
        <v/>
      </c>
      <c r="P469" s="79" t="str">
        <f t="shared" si="64"/>
        <v/>
      </c>
      <c r="AL469" s="89" t="str">
        <f t="shared" ca="1" si="65"/>
        <v/>
      </c>
    </row>
    <row r="470" spans="1:38" x14ac:dyDescent="0.3">
      <c r="A470" s="70"/>
      <c r="B470" s="71"/>
      <c r="C470" s="71"/>
      <c r="D470" s="71"/>
      <c r="E470" s="72"/>
      <c r="F470" s="73"/>
      <c r="G470" s="74"/>
      <c r="H470" s="75" t="str">
        <f t="shared" si="58"/>
        <v/>
      </c>
      <c r="I470" s="16" t="str">
        <f t="shared" si="59"/>
        <v/>
      </c>
      <c r="J470" s="76" t="str">
        <f t="shared" si="60"/>
        <v/>
      </c>
      <c r="K470" s="77" t="str">
        <f t="shared" si="61"/>
        <v/>
      </c>
      <c r="L470" s="78" t="str">
        <f t="shared" si="62"/>
        <v/>
      </c>
      <c r="M470" s="4"/>
      <c r="N470" s="79">
        <f>IF(OR($A470="",$B470=""),0,IF(COUNTIFS($A$5:$A470,$A470,$B$5:$B470,$B470)=1,1,0))</f>
        <v>0</v>
      </c>
      <c r="O470" s="79" t="str">
        <f t="shared" si="63"/>
        <v/>
      </c>
      <c r="P470" s="79" t="str">
        <f t="shared" si="64"/>
        <v/>
      </c>
      <c r="AL470" s="89" t="str">
        <f t="shared" ca="1" si="65"/>
        <v/>
      </c>
    </row>
    <row r="471" spans="1:38" x14ac:dyDescent="0.3">
      <c r="A471" s="70"/>
      <c r="B471" s="71"/>
      <c r="C471" s="71"/>
      <c r="D471" s="71"/>
      <c r="E471" s="72"/>
      <c r="F471" s="73"/>
      <c r="G471" s="74"/>
      <c r="H471" s="75" t="str">
        <f t="shared" si="58"/>
        <v/>
      </c>
      <c r="I471" s="16" t="str">
        <f t="shared" si="59"/>
        <v/>
      </c>
      <c r="J471" s="76" t="str">
        <f t="shared" si="60"/>
        <v/>
      </c>
      <c r="K471" s="77" t="str">
        <f t="shared" si="61"/>
        <v/>
      </c>
      <c r="L471" s="78" t="str">
        <f t="shared" si="62"/>
        <v/>
      </c>
      <c r="M471" s="4"/>
      <c r="N471" s="79">
        <f>IF(OR($A471="",$B471=""),0,IF(COUNTIFS($A$5:$A471,$A471,$B$5:$B471,$B471)=1,1,0))</f>
        <v>0</v>
      </c>
      <c r="O471" s="79" t="str">
        <f t="shared" si="63"/>
        <v/>
      </c>
      <c r="P471" s="79" t="str">
        <f t="shared" si="64"/>
        <v/>
      </c>
      <c r="AL471" s="89" t="str">
        <f t="shared" ca="1" si="65"/>
        <v/>
      </c>
    </row>
    <row r="472" spans="1:38" x14ac:dyDescent="0.3">
      <c r="A472" s="70"/>
      <c r="B472" s="71"/>
      <c r="C472" s="71"/>
      <c r="D472" s="71"/>
      <c r="E472" s="72"/>
      <c r="F472" s="73"/>
      <c r="G472" s="74"/>
      <c r="H472" s="75" t="str">
        <f t="shared" si="58"/>
        <v/>
      </c>
      <c r="I472" s="16" t="str">
        <f t="shared" si="59"/>
        <v/>
      </c>
      <c r="J472" s="76" t="str">
        <f t="shared" si="60"/>
        <v/>
      </c>
      <c r="K472" s="77" t="str">
        <f t="shared" si="61"/>
        <v/>
      </c>
      <c r="L472" s="78" t="str">
        <f t="shared" si="62"/>
        <v/>
      </c>
      <c r="M472" s="4"/>
      <c r="N472" s="79">
        <f>IF(OR($A472="",$B472=""),0,IF(COUNTIFS($A$5:$A472,$A472,$B$5:$B472,$B472)=1,1,0))</f>
        <v>0</v>
      </c>
      <c r="O472" s="79" t="str">
        <f t="shared" si="63"/>
        <v/>
      </c>
      <c r="P472" s="79" t="str">
        <f t="shared" si="64"/>
        <v/>
      </c>
      <c r="AL472" s="89" t="str">
        <f t="shared" ca="1" si="65"/>
        <v/>
      </c>
    </row>
    <row r="473" spans="1:38" x14ac:dyDescent="0.3">
      <c r="A473" s="70"/>
      <c r="B473" s="71"/>
      <c r="C473" s="71"/>
      <c r="D473" s="71"/>
      <c r="E473" s="72"/>
      <c r="F473" s="73"/>
      <c r="G473" s="74"/>
      <c r="H473" s="75" t="str">
        <f t="shared" si="58"/>
        <v/>
      </c>
      <c r="I473" s="16" t="str">
        <f t="shared" si="59"/>
        <v/>
      </c>
      <c r="J473" s="76" t="str">
        <f t="shared" si="60"/>
        <v/>
      </c>
      <c r="K473" s="77" t="str">
        <f t="shared" si="61"/>
        <v/>
      </c>
      <c r="L473" s="78" t="str">
        <f t="shared" si="62"/>
        <v/>
      </c>
      <c r="M473" s="4"/>
      <c r="N473" s="79">
        <f>IF(OR($A473="",$B473=""),0,IF(COUNTIFS($A$5:$A473,$A473,$B$5:$B473,$B473)=1,1,0))</f>
        <v>0</v>
      </c>
      <c r="O473" s="79" t="str">
        <f t="shared" si="63"/>
        <v/>
      </c>
      <c r="P473" s="79" t="str">
        <f t="shared" si="64"/>
        <v/>
      </c>
      <c r="AL473" s="89" t="str">
        <f t="shared" ca="1" si="65"/>
        <v/>
      </c>
    </row>
    <row r="474" spans="1:38" x14ac:dyDescent="0.3">
      <c r="A474" s="70"/>
      <c r="B474" s="71"/>
      <c r="C474" s="71"/>
      <c r="D474" s="71"/>
      <c r="E474" s="72"/>
      <c r="F474" s="73"/>
      <c r="G474" s="74"/>
      <c r="H474" s="75" t="str">
        <f t="shared" si="58"/>
        <v/>
      </c>
      <c r="I474" s="16" t="str">
        <f t="shared" si="59"/>
        <v/>
      </c>
      <c r="J474" s="76" t="str">
        <f t="shared" si="60"/>
        <v/>
      </c>
      <c r="K474" s="77" t="str">
        <f t="shared" si="61"/>
        <v/>
      </c>
      <c r="L474" s="78" t="str">
        <f t="shared" si="62"/>
        <v/>
      </c>
      <c r="M474" s="4"/>
      <c r="N474" s="79">
        <f>IF(OR($A474="",$B474=""),0,IF(COUNTIFS($A$5:$A474,$A474,$B$5:$B474,$B474)=1,1,0))</f>
        <v>0</v>
      </c>
      <c r="O474" s="79" t="str">
        <f t="shared" si="63"/>
        <v/>
      </c>
      <c r="P474" s="79" t="str">
        <f t="shared" si="64"/>
        <v/>
      </c>
      <c r="AL474" s="89" t="str">
        <f t="shared" ca="1" si="65"/>
        <v/>
      </c>
    </row>
    <row r="475" spans="1:38" x14ac:dyDescent="0.3">
      <c r="A475" s="70"/>
      <c r="B475" s="71"/>
      <c r="C475" s="71"/>
      <c r="D475" s="71"/>
      <c r="E475" s="72"/>
      <c r="F475" s="73"/>
      <c r="G475" s="74"/>
      <c r="H475" s="75" t="str">
        <f t="shared" si="58"/>
        <v/>
      </c>
      <c r="I475" s="16" t="str">
        <f t="shared" si="59"/>
        <v/>
      </c>
      <c r="J475" s="76" t="str">
        <f t="shared" si="60"/>
        <v/>
      </c>
      <c r="K475" s="77" t="str">
        <f t="shared" si="61"/>
        <v/>
      </c>
      <c r="L475" s="78" t="str">
        <f t="shared" si="62"/>
        <v/>
      </c>
      <c r="M475" s="4"/>
      <c r="N475" s="79">
        <f>IF(OR($A475="",$B475=""),0,IF(COUNTIFS($A$5:$A475,$A475,$B$5:$B475,$B475)=1,1,0))</f>
        <v>0</v>
      </c>
      <c r="O475" s="79" t="str">
        <f t="shared" si="63"/>
        <v/>
      </c>
      <c r="P475" s="79" t="str">
        <f t="shared" si="64"/>
        <v/>
      </c>
      <c r="AL475" s="89" t="str">
        <f t="shared" ca="1" si="65"/>
        <v/>
      </c>
    </row>
    <row r="476" spans="1:38" x14ac:dyDescent="0.3">
      <c r="A476" s="70"/>
      <c r="B476" s="71"/>
      <c r="C476" s="71"/>
      <c r="D476" s="71"/>
      <c r="E476" s="72"/>
      <c r="F476" s="73"/>
      <c r="G476" s="74"/>
      <c r="H476" s="75" t="str">
        <f t="shared" si="58"/>
        <v/>
      </c>
      <c r="I476" s="16" t="str">
        <f t="shared" si="59"/>
        <v/>
      </c>
      <c r="J476" s="76" t="str">
        <f t="shared" si="60"/>
        <v/>
      </c>
      <c r="K476" s="77" t="str">
        <f t="shared" si="61"/>
        <v/>
      </c>
      <c r="L476" s="78" t="str">
        <f t="shared" si="62"/>
        <v/>
      </c>
      <c r="M476" s="4"/>
      <c r="N476" s="79">
        <f>IF(OR($A476="",$B476=""),0,IF(COUNTIFS($A$5:$A476,$A476,$B$5:$B476,$B476)=1,1,0))</f>
        <v>0</v>
      </c>
      <c r="O476" s="79" t="str">
        <f t="shared" si="63"/>
        <v/>
      </c>
      <c r="P476" s="79" t="str">
        <f t="shared" si="64"/>
        <v/>
      </c>
      <c r="AL476" s="89" t="str">
        <f t="shared" ca="1" si="65"/>
        <v/>
      </c>
    </row>
    <row r="477" spans="1:38" x14ac:dyDescent="0.3">
      <c r="A477" s="70"/>
      <c r="B477" s="71"/>
      <c r="C477" s="71"/>
      <c r="D477" s="71"/>
      <c r="E477" s="72"/>
      <c r="F477" s="73"/>
      <c r="G477" s="74"/>
      <c r="H477" s="75" t="str">
        <f t="shared" si="58"/>
        <v/>
      </c>
      <c r="I477" s="16" t="str">
        <f t="shared" si="59"/>
        <v/>
      </c>
      <c r="J477" s="76" t="str">
        <f t="shared" si="60"/>
        <v/>
      </c>
      <c r="K477" s="77" t="str">
        <f t="shared" si="61"/>
        <v/>
      </c>
      <c r="L477" s="78" t="str">
        <f t="shared" si="62"/>
        <v/>
      </c>
      <c r="M477" s="4"/>
      <c r="N477" s="79">
        <f>IF(OR($A477="",$B477=""),0,IF(COUNTIFS($A$5:$A477,$A477,$B$5:$B477,$B477)=1,1,0))</f>
        <v>0</v>
      </c>
      <c r="O477" s="79" t="str">
        <f t="shared" si="63"/>
        <v/>
      </c>
      <c r="P477" s="79" t="str">
        <f t="shared" si="64"/>
        <v/>
      </c>
      <c r="AL477" s="89" t="str">
        <f t="shared" ca="1" si="65"/>
        <v/>
      </c>
    </row>
    <row r="478" spans="1:38" x14ac:dyDescent="0.3">
      <c r="A478" s="70"/>
      <c r="B478" s="71"/>
      <c r="C478" s="71"/>
      <c r="D478" s="71"/>
      <c r="E478" s="72"/>
      <c r="F478" s="73"/>
      <c r="G478" s="74"/>
      <c r="H478" s="75" t="str">
        <f t="shared" si="58"/>
        <v/>
      </c>
      <c r="I478" s="16" t="str">
        <f t="shared" si="59"/>
        <v/>
      </c>
      <c r="J478" s="76" t="str">
        <f t="shared" si="60"/>
        <v/>
      </c>
      <c r="K478" s="77" t="str">
        <f t="shared" si="61"/>
        <v/>
      </c>
      <c r="L478" s="78" t="str">
        <f t="shared" si="62"/>
        <v/>
      </c>
      <c r="M478" s="4"/>
      <c r="N478" s="79">
        <f>IF(OR($A478="",$B478=""),0,IF(COUNTIFS($A$5:$A478,$A478,$B$5:$B478,$B478)=1,1,0))</f>
        <v>0</v>
      </c>
      <c r="O478" s="79" t="str">
        <f t="shared" si="63"/>
        <v/>
      </c>
      <c r="P478" s="79" t="str">
        <f t="shared" si="64"/>
        <v/>
      </c>
      <c r="AL478" s="89" t="str">
        <f t="shared" ca="1" si="65"/>
        <v/>
      </c>
    </row>
    <row r="479" spans="1:38" x14ac:dyDescent="0.3">
      <c r="A479" s="70"/>
      <c r="B479" s="71"/>
      <c r="C479" s="71"/>
      <c r="D479" s="71"/>
      <c r="E479" s="72"/>
      <c r="F479" s="73"/>
      <c r="G479" s="74"/>
      <c r="H479" s="75" t="str">
        <f t="shared" si="58"/>
        <v/>
      </c>
      <c r="I479" s="16" t="str">
        <f t="shared" si="59"/>
        <v/>
      </c>
      <c r="J479" s="76" t="str">
        <f t="shared" si="60"/>
        <v/>
      </c>
      <c r="K479" s="77" t="str">
        <f t="shared" si="61"/>
        <v/>
      </c>
      <c r="L479" s="78" t="str">
        <f t="shared" si="62"/>
        <v/>
      </c>
      <c r="M479" s="4"/>
      <c r="N479" s="79">
        <f>IF(OR($A479="",$B479=""),0,IF(COUNTIFS($A$5:$A479,$A479,$B$5:$B479,$B479)=1,1,0))</f>
        <v>0</v>
      </c>
      <c r="O479" s="79" t="str">
        <f t="shared" si="63"/>
        <v/>
      </c>
      <c r="P479" s="79" t="str">
        <f t="shared" si="64"/>
        <v/>
      </c>
      <c r="AL479" s="89" t="str">
        <f t="shared" ca="1" si="65"/>
        <v/>
      </c>
    </row>
    <row r="480" spans="1:38" x14ac:dyDescent="0.3">
      <c r="A480" s="70"/>
      <c r="B480" s="71"/>
      <c r="C480" s="71"/>
      <c r="D480" s="71"/>
      <c r="E480" s="72"/>
      <c r="F480" s="73"/>
      <c r="G480" s="74"/>
      <c r="H480" s="75" t="str">
        <f t="shared" si="58"/>
        <v/>
      </c>
      <c r="I480" s="16" t="str">
        <f t="shared" si="59"/>
        <v/>
      </c>
      <c r="J480" s="76" t="str">
        <f t="shared" si="60"/>
        <v/>
      </c>
      <c r="K480" s="77" t="str">
        <f t="shared" si="61"/>
        <v/>
      </c>
      <c r="L480" s="78" t="str">
        <f t="shared" si="62"/>
        <v/>
      </c>
      <c r="M480" s="4"/>
      <c r="N480" s="79">
        <f>IF(OR($A480="",$B480=""),0,IF(COUNTIFS($A$5:$A480,$A480,$B$5:$B480,$B480)=1,1,0))</f>
        <v>0</v>
      </c>
      <c r="O480" s="79" t="str">
        <f t="shared" si="63"/>
        <v/>
      </c>
      <c r="P480" s="79" t="str">
        <f t="shared" si="64"/>
        <v/>
      </c>
      <c r="AL480" s="89" t="str">
        <f t="shared" ca="1" si="65"/>
        <v/>
      </c>
    </row>
    <row r="481" spans="1:38" x14ac:dyDescent="0.3">
      <c r="A481" s="70"/>
      <c r="B481" s="71"/>
      <c r="C481" s="71"/>
      <c r="D481" s="71"/>
      <c r="E481" s="72"/>
      <c r="F481" s="73"/>
      <c r="G481" s="74"/>
      <c r="H481" s="75" t="str">
        <f t="shared" si="58"/>
        <v/>
      </c>
      <c r="I481" s="16" t="str">
        <f t="shared" si="59"/>
        <v/>
      </c>
      <c r="J481" s="76" t="str">
        <f t="shared" si="60"/>
        <v/>
      </c>
      <c r="K481" s="77" t="str">
        <f t="shared" si="61"/>
        <v/>
      </c>
      <c r="L481" s="78" t="str">
        <f t="shared" si="62"/>
        <v/>
      </c>
      <c r="M481" s="4"/>
      <c r="N481" s="79">
        <f>IF(OR($A481="",$B481=""),0,IF(COUNTIFS($A$5:$A481,$A481,$B$5:$B481,$B481)=1,1,0))</f>
        <v>0</v>
      </c>
      <c r="O481" s="79" t="str">
        <f t="shared" si="63"/>
        <v/>
      </c>
      <c r="P481" s="79" t="str">
        <f t="shared" si="64"/>
        <v/>
      </c>
      <c r="AL481" s="89" t="str">
        <f t="shared" ca="1" si="65"/>
        <v/>
      </c>
    </row>
    <row r="482" spans="1:38" x14ac:dyDescent="0.3">
      <c r="A482" s="70"/>
      <c r="B482" s="71"/>
      <c r="C482" s="71"/>
      <c r="D482" s="71"/>
      <c r="E482" s="72"/>
      <c r="F482" s="73"/>
      <c r="G482" s="74"/>
      <c r="H482" s="75" t="str">
        <f t="shared" si="58"/>
        <v/>
      </c>
      <c r="I482" s="16" t="str">
        <f t="shared" si="59"/>
        <v/>
      </c>
      <c r="J482" s="76" t="str">
        <f t="shared" si="60"/>
        <v/>
      </c>
      <c r="K482" s="77" t="str">
        <f t="shared" si="61"/>
        <v/>
      </c>
      <c r="L482" s="78" t="str">
        <f t="shared" si="62"/>
        <v/>
      </c>
      <c r="M482" s="4"/>
      <c r="N482" s="79">
        <f>IF(OR($A482="",$B482=""),0,IF(COUNTIFS($A$5:$A482,$A482,$B$5:$B482,$B482)=1,1,0))</f>
        <v>0</v>
      </c>
      <c r="O482" s="79" t="str">
        <f t="shared" si="63"/>
        <v/>
      </c>
      <c r="P482" s="79" t="str">
        <f t="shared" si="64"/>
        <v/>
      </c>
      <c r="AL482" s="89" t="str">
        <f t="shared" ca="1" si="65"/>
        <v/>
      </c>
    </row>
    <row r="483" spans="1:38" x14ac:dyDescent="0.3">
      <c r="A483" s="70"/>
      <c r="B483" s="71"/>
      <c r="C483" s="71"/>
      <c r="D483" s="71"/>
      <c r="E483" s="72"/>
      <c r="F483" s="73"/>
      <c r="G483" s="74"/>
      <c r="H483" s="75" t="str">
        <f t="shared" si="58"/>
        <v/>
      </c>
      <c r="I483" s="16" t="str">
        <f t="shared" si="59"/>
        <v/>
      </c>
      <c r="J483" s="76" t="str">
        <f t="shared" si="60"/>
        <v/>
      </c>
      <c r="K483" s="77" t="str">
        <f t="shared" si="61"/>
        <v/>
      </c>
      <c r="L483" s="78" t="str">
        <f t="shared" si="62"/>
        <v/>
      </c>
      <c r="M483" s="4"/>
      <c r="N483" s="79">
        <f>IF(OR($A483="",$B483=""),0,IF(COUNTIFS($A$5:$A483,$A483,$B$5:$B483,$B483)=1,1,0))</f>
        <v>0</v>
      </c>
      <c r="O483" s="79" t="str">
        <f t="shared" si="63"/>
        <v/>
      </c>
      <c r="P483" s="79" t="str">
        <f t="shared" si="64"/>
        <v/>
      </c>
      <c r="AL483" s="89" t="str">
        <f t="shared" ca="1" si="65"/>
        <v/>
      </c>
    </row>
    <row r="484" spans="1:38" x14ac:dyDescent="0.3">
      <c r="A484" s="70"/>
      <c r="B484" s="71"/>
      <c r="C484" s="71"/>
      <c r="D484" s="71"/>
      <c r="E484" s="72"/>
      <c r="F484" s="73"/>
      <c r="G484" s="74"/>
      <c r="H484" s="75" t="str">
        <f t="shared" si="58"/>
        <v/>
      </c>
      <c r="I484" s="16" t="str">
        <f t="shared" si="59"/>
        <v/>
      </c>
      <c r="J484" s="76" t="str">
        <f t="shared" si="60"/>
        <v/>
      </c>
      <c r="K484" s="77" t="str">
        <f t="shared" si="61"/>
        <v/>
      </c>
      <c r="L484" s="78" t="str">
        <f t="shared" si="62"/>
        <v/>
      </c>
      <c r="M484" s="4"/>
      <c r="N484" s="79">
        <f>IF(OR($A484="",$B484=""),0,IF(COUNTIFS($A$5:$A484,$A484,$B$5:$B484,$B484)=1,1,0))</f>
        <v>0</v>
      </c>
      <c r="O484" s="79" t="str">
        <f t="shared" si="63"/>
        <v/>
      </c>
      <c r="P484" s="79" t="str">
        <f t="shared" si="64"/>
        <v/>
      </c>
      <c r="AL484" s="89" t="str">
        <f t="shared" ca="1" si="65"/>
        <v/>
      </c>
    </row>
    <row r="485" spans="1:38" x14ac:dyDescent="0.3">
      <c r="A485" s="70"/>
      <c r="B485" s="71"/>
      <c r="C485" s="71"/>
      <c r="D485" s="71"/>
      <c r="E485" s="72"/>
      <c r="F485" s="73"/>
      <c r="G485" s="74"/>
      <c r="H485" s="75" t="str">
        <f t="shared" si="58"/>
        <v/>
      </c>
      <c r="I485" s="16" t="str">
        <f t="shared" si="59"/>
        <v/>
      </c>
      <c r="J485" s="76" t="str">
        <f t="shared" si="60"/>
        <v/>
      </c>
      <c r="K485" s="77" t="str">
        <f t="shared" si="61"/>
        <v/>
      </c>
      <c r="L485" s="78" t="str">
        <f t="shared" si="62"/>
        <v/>
      </c>
      <c r="M485" s="4"/>
      <c r="N485" s="79">
        <f>IF(OR($A485="",$B485=""),0,IF(COUNTIFS($A$5:$A485,$A485,$B$5:$B485,$B485)=1,1,0))</f>
        <v>0</v>
      </c>
      <c r="O485" s="79" t="str">
        <f t="shared" si="63"/>
        <v/>
      </c>
      <c r="P485" s="79" t="str">
        <f t="shared" si="64"/>
        <v/>
      </c>
      <c r="AL485" s="89" t="str">
        <f t="shared" ca="1" si="65"/>
        <v/>
      </c>
    </row>
    <row r="486" spans="1:38" x14ac:dyDescent="0.3">
      <c r="A486" s="70"/>
      <c r="B486" s="71"/>
      <c r="C486" s="71"/>
      <c r="D486" s="71"/>
      <c r="E486" s="72"/>
      <c r="F486" s="73"/>
      <c r="G486" s="74"/>
      <c r="H486" s="75" t="str">
        <f t="shared" si="58"/>
        <v/>
      </c>
      <c r="I486" s="16" t="str">
        <f t="shared" si="59"/>
        <v/>
      </c>
      <c r="J486" s="76" t="str">
        <f t="shared" si="60"/>
        <v/>
      </c>
      <c r="K486" s="77" t="str">
        <f t="shared" si="61"/>
        <v/>
      </c>
      <c r="L486" s="78" t="str">
        <f t="shared" si="62"/>
        <v/>
      </c>
      <c r="M486" s="4"/>
      <c r="N486" s="79">
        <f>IF(OR($A486="",$B486=""),0,IF(COUNTIFS($A$5:$A486,$A486,$B$5:$B486,$B486)=1,1,0))</f>
        <v>0</v>
      </c>
      <c r="O486" s="79" t="str">
        <f t="shared" si="63"/>
        <v/>
      </c>
      <c r="P486" s="79" t="str">
        <f t="shared" si="64"/>
        <v/>
      </c>
      <c r="AL486" s="89" t="str">
        <f t="shared" ca="1" si="65"/>
        <v/>
      </c>
    </row>
    <row r="487" spans="1:38" x14ac:dyDescent="0.3">
      <c r="A487" s="70"/>
      <c r="B487" s="71"/>
      <c r="C487" s="71"/>
      <c r="D487" s="71"/>
      <c r="E487" s="72"/>
      <c r="F487" s="73"/>
      <c r="G487" s="74"/>
      <c r="H487" s="75" t="str">
        <f t="shared" si="58"/>
        <v/>
      </c>
      <c r="I487" s="16" t="str">
        <f t="shared" si="59"/>
        <v/>
      </c>
      <c r="J487" s="76" t="str">
        <f t="shared" si="60"/>
        <v/>
      </c>
      <c r="K487" s="77" t="str">
        <f t="shared" si="61"/>
        <v/>
      </c>
      <c r="L487" s="78" t="str">
        <f t="shared" si="62"/>
        <v/>
      </c>
      <c r="M487" s="4"/>
      <c r="N487" s="79">
        <f>IF(OR($A487="",$B487=""),0,IF(COUNTIFS($A$5:$A487,$A487,$B$5:$B487,$B487)=1,1,0))</f>
        <v>0</v>
      </c>
      <c r="O487" s="79" t="str">
        <f t="shared" si="63"/>
        <v/>
      </c>
      <c r="P487" s="79" t="str">
        <f t="shared" si="64"/>
        <v/>
      </c>
      <c r="AL487" s="89" t="str">
        <f t="shared" ca="1" si="65"/>
        <v/>
      </c>
    </row>
    <row r="488" spans="1:38" x14ac:dyDescent="0.3">
      <c r="A488" s="70"/>
      <c r="B488" s="71"/>
      <c r="C488" s="71"/>
      <c r="D488" s="71"/>
      <c r="E488" s="72"/>
      <c r="F488" s="73"/>
      <c r="G488" s="74"/>
      <c r="H488" s="75" t="str">
        <f t="shared" si="58"/>
        <v/>
      </c>
      <c r="I488" s="16" t="str">
        <f t="shared" si="59"/>
        <v/>
      </c>
      <c r="J488" s="76" t="str">
        <f t="shared" si="60"/>
        <v/>
      </c>
      <c r="K488" s="77" t="str">
        <f t="shared" si="61"/>
        <v/>
      </c>
      <c r="L488" s="78" t="str">
        <f t="shared" si="62"/>
        <v/>
      </c>
      <c r="M488" s="4"/>
      <c r="N488" s="79">
        <f>IF(OR($A488="",$B488=""),0,IF(COUNTIFS($A$5:$A488,$A488,$B$5:$B488,$B488)=1,1,0))</f>
        <v>0</v>
      </c>
      <c r="O488" s="79" t="str">
        <f t="shared" si="63"/>
        <v/>
      </c>
      <c r="P488" s="79" t="str">
        <f t="shared" si="64"/>
        <v/>
      </c>
      <c r="AL488" s="89" t="str">
        <f t="shared" ca="1" si="65"/>
        <v/>
      </c>
    </row>
    <row r="489" spans="1:38" x14ac:dyDescent="0.3">
      <c r="A489" s="70"/>
      <c r="B489" s="71"/>
      <c r="C489" s="71"/>
      <c r="D489" s="71"/>
      <c r="E489" s="72"/>
      <c r="F489" s="73"/>
      <c r="G489" s="74"/>
      <c r="H489" s="75" t="str">
        <f t="shared" si="58"/>
        <v/>
      </c>
      <c r="I489" s="16" t="str">
        <f t="shared" si="59"/>
        <v/>
      </c>
      <c r="J489" s="76" t="str">
        <f t="shared" si="60"/>
        <v/>
      </c>
      <c r="K489" s="77" t="str">
        <f t="shared" si="61"/>
        <v/>
      </c>
      <c r="L489" s="78" t="str">
        <f t="shared" si="62"/>
        <v/>
      </c>
      <c r="M489" s="4"/>
      <c r="N489" s="79">
        <f>IF(OR($A489="",$B489=""),0,IF(COUNTIFS($A$5:$A489,$A489,$B$5:$B489,$B489)=1,1,0))</f>
        <v>0</v>
      </c>
      <c r="O489" s="79" t="str">
        <f t="shared" si="63"/>
        <v/>
      </c>
      <c r="P489" s="79" t="str">
        <f t="shared" si="64"/>
        <v/>
      </c>
      <c r="AL489" s="89" t="str">
        <f t="shared" ca="1" si="65"/>
        <v/>
      </c>
    </row>
    <row r="490" spans="1:38" x14ac:dyDescent="0.3">
      <c r="A490" s="70"/>
      <c r="B490" s="71"/>
      <c r="C490" s="71"/>
      <c r="D490" s="71"/>
      <c r="E490" s="72"/>
      <c r="F490" s="73"/>
      <c r="G490" s="74"/>
      <c r="H490" s="75" t="str">
        <f t="shared" si="58"/>
        <v/>
      </c>
      <c r="I490" s="16" t="str">
        <f t="shared" si="59"/>
        <v/>
      </c>
      <c r="J490" s="76" t="str">
        <f t="shared" si="60"/>
        <v/>
      </c>
      <c r="K490" s="77" t="str">
        <f t="shared" si="61"/>
        <v/>
      </c>
      <c r="L490" s="78" t="str">
        <f t="shared" si="62"/>
        <v/>
      </c>
      <c r="M490" s="4"/>
      <c r="N490" s="79">
        <f>IF(OR($A490="",$B490=""),0,IF(COUNTIFS($A$5:$A490,$A490,$B$5:$B490,$B490)=1,1,0))</f>
        <v>0</v>
      </c>
      <c r="O490" s="79" t="str">
        <f t="shared" si="63"/>
        <v/>
      </c>
      <c r="P490" s="79" t="str">
        <f t="shared" si="64"/>
        <v/>
      </c>
      <c r="AL490" s="89" t="str">
        <f t="shared" ca="1" si="65"/>
        <v/>
      </c>
    </row>
    <row r="491" spans="1:38" x14ac:dyDescent="0.3">
      <c r="A491" s="70"/>
      <c r="B491" s="71"/>
      <c r="C491" s="71"/>
      <c r="D491" s="71"/>
      <c r="E491" s="72"/>
      <c r="F491" s="73"/>
      <c r="G491" s="74"/>
      <c r="H491" s="75" t="str">
        <f t="shared" si="58"/>
        <v/>
      </c>
      <c r="I491" s="16" t="str">
        <f t="shared" si="59"/>
        <v/>
      </c>
      <c r="J491" s="76" t="str">
        <f t="shared" si="60"/>
        <v/>
      </c>
      <c r="K491" s="77" t="str">
        <f t="shared" si="61"/>
        <v/>
      </c>
      <c r="L491" s="78" t="str">
        <f t="shared" si="62"/>
        <v/>
      </c>
      <c r="M491" s="4"/>
      <c r="N491" s="79">
        <f>IF(OR($A491="",$B491=""),0,IF(COUNTIFS($A$5:$A491,$A491,$B$5:$B491,$B491)=1,1,0))</f>
        <v>0</v>
      </c>
      <c r="O491" s="79" t="str">
        <f t="shared" si="63"/>
        <v/>
      </c>
      <c r="P491" s="79" t="str">
        <f t="shared" si="64"/>
        <v/>
      </c>
      <c r="AL491" s="89" t="str">
        <f t="shared" ca="1" si="65"/>
        <v/>
      </c>
    </row>
    <row r="492" spans="1:38" x14ac:dyDescent="0.3">
      <c r="A492" s="70"/>
      <c r="B492" s="71"/>
      <c r="C492" s="71"/>
      <c r="D492" s="71"/>
      <c r="E492" s="72"/>
      <c r="F492" s="73"/>
      <c r="G492" s="74"/>
      <c r="H492" s="75" t="str">
        <f t="shared" si="58"/>
        <v/>
      </c>
      <c r="I492" s="16" t="str">
        <f t="shared" si="59"/>
        <v/>
      </c>
      <c r="J492" s="76" t="str">
        <f t="shared" si="60"/>
        <v/>
      </c>
      <c r="K492" s="77" t="str">
        <f t="shared" si="61"/>
        <v/>
      </c>
      <c r="L492" s="78" t="str">
        <f t="shared" si="62"/>
        <v/>
      </c>
      <c r="M492" s="4"/>
      <c r="N492" s="79">
        <f>IF(OR($A492="",$B492=""),0,IF(COUNTIFS($A$5:$A492,$A492,$B$5:$B492,$B492)=1,1,0))</f>
        <v>0</v>
      </c>
      <c r="O492" s="79" t="str">
        <f t="shared" si="63"/>
        <v/>
      </c>
      <c r="P492" s="79" t="str">
        <f t="shared" si="64"/>
        <v/>
      </c>
      <c r="AL492" s="89" t="str">
        <f t="shared" ca="1" si="65"/>
        <v/>
      </c>
    </row>
    <row r="493" spans="1:38" x14ac:dyDescent="0.3">
      <c r="A493" s="70"/>
      <c r="B493" s="71"/>
      <c r="C493" s="71"/>
      <c r="D493" s="71"/>
      <c r="E493" s="72"/>
      <c r="F493" s="73"/>
      <c r="G493" s="74"/>
      <c r="H493" s="75" t="str">
        <f t="shared" si="58"/>
        <v/>
      </c>
      <c r="I493" s="16" t="str">
        <f t="shared" si="59"/>
        <v/>
      </c>
      <c r="J493" s="76" t="str">
        <f t="shared" si="60"/>
        <v/>
      </c>
      <c r="K493" s="77" t="str">
        <f t="shared" si="61"/>
        <v/>
      </c>
      <c r="L493" s="78" t="str">
        <f t="shared" si="62"/>
        <v/>
      </c>
      <c r="M493" s="4"/>
      <c r="N493" s="79">
        <f>IF(OR($A493="",$B493=""),0,IF(COUNTIFS($A$5:$A493,$A493,$B$5:$B493,$B493)=1,1,0))</f>
        <v>0</v>
      </c>
      <c r="O493" s="79" t="str">
        <f t="shared" si="63"/>
        <v/>
      </c>
      <c r="P493" s="79" t="str">
        <f t="shared" si="64"/>
        <v/>
      </c>
      <c r="AL493" s="89" t="str">
        <f t="shared" ca="1" si="65"/>
        <v/>
      </c>
    </row>
    <row r="494" spans="1:38" x14ac:dyDescent="0.3">
      <c r="A494" s="70"/>
      <c r="B494" s="71"/>
      <c r="C494" s="71"/>
      <c r="D494" s="71"/>
      <c r="E494" s="72"/>
      <c r="F494" s="73"/>
      <c r="G494" s="74"/>
      <c r="H494" s="75" t="str">
        <f t="shared" si="58"/>
        <v/>
      </c>
      <c r="I494" s="16" t="str">
        <f t="shared" si="59"/>
        <v/>
      </c>
      <c r="J494" s="76" t="str">
        <f t="shared" si="60"/>
        <v/>
      </c>
      <c r="K494" s="77" t="str">
        <f t="shared" si="61"/>
        <v/>
      </c>
      <c r="L494" s="78" t="str">
        <f t="shared" si="62"/>
        <v/>
      </c>
      <c r="M494" s="4"/>
      <c r="N494" s="79">
        <f>IF(OR($A494="",$B494=""),0,IF(COUNTIFS($A$5:$A494,$A494,$B$5:$B494,$B494)=1,1,0))</f>
        <v>0</v>
      </c>
      <c r="O494" s="79" t="str">
        <f t="shared" si="63"/>
        <v/>
      </c>
      <c r="P494" s="79" t="str">
        <f t="shared" si="64"/>
        <v/>
      </c>
      <c r="AL494" s="89" t="str">
        <f t="shared" ca="1" si="65"/>
        <v/>
      </c>
    </row>
    <row r="495" spans="1:38" x14ac:dyDescent="0.3">
      <c r="A495" s="70"/>
      <c r="B495" s="71"/>
      <c r="C495" s="71"/>
      <c r="D495" s="71"/>
      <c r="E495" s="72"/>
      <c r="F495" s="73"/>
      <c r="G495" s="74"/>
      <c r="H495" s="75" t="str">
        <f t="shared" si="58"/>
        <v/>
      </c>
      <c r="I495" s="16" t="str">
        <f t="shared" si="59"/>
        <v/>
      </c>
      <c r="J495" s="76" t="str">
        <f t="shared" si="60"/>
        <v/>
      </c>
      <c r="K495" s="77" t="str">
        <f t="shared" si="61"/>
        <v/>
      </c>
      <c r="L495" s="78" t="str">
        <f t="shared" si="62"/>
        <v/>
      </c>
      <c r="M495" s="4"/>
      <c r="N495" s="79">
        <f>IF(OR($A495="",$B495=""),0,IF(COUNTIFS($A$5:$A495,$A495,$B$5:$B495,$B495)=1,1,0))</f>
        <v>0</v>
      </c>
      <c r="O495" s="79" t="str">
        <f t="shared" si="63"/>
        <v/>
      </c>
      <c r="P495" s="79" t="str">
        <f t="shared" si="64"/>
        <v/>
      </c>
      <c r="AL495" s="89" t="str">
        <f t="shared" ca="1" si="65"/>
        <v/>
      </c>
    </row>
    <row r="496" spans="1:38" x14ac:dyDescent="0.3">
      <c r="A496" s="70"/>
      <c r="B496" s="71"/>
      <c r="C496" s="71"/>
      <c r="D496" s="71"/>
      <c r="E496" s="72"/>
      <c r="F496" s="73"/>
      <c r="G496" s="74"/>
      <c r="H496" s="75" t="str">
        <f t="shared" si="58"/>
        <v/>
      </c>
      <c r="I496" s="16" t="str">
        <f t="shared" si="59"/>
        <v/>
      </c>
      <c r="J496" s="76" t="str">
        <f t="shared" si="60"/>
        <v/>
      </c>
      <c r="K496" s="77" t="str">
        <f t="shared" si="61"/>
        <v/>
      </c>
      <c r="L496" s="78" t="str">
        <f t="shared" si="62"/>
        <v/>
      </c>
      <c r="M496" s="4"/>
      <c r="N496" s="79">
        <f>IF(OR($A496="",$B496=""),0,IF(COUNTIFS($A$5:$A496,$A496,$B$5:$B496,$B496)=1,1,0))</f>
        <v>0</v>
      </c>
      <c r="O496" s="79" t="str">
        <f t="shared" si="63"/>
        <v/>
      </c>
      <c r="P496" s="79" t="str">
        <f t="shared" si="64"/>
        <v/>
      </c>
      <c r="AL496" s="89" t="str">
        <f t="shared" ca="1" si="65"/>
        <v/>
      </c>
    </row>
    <row r="497" spans="1:38" x14ac:dyDescent="0.3">
      <c r="A497" s="70"/>
      <c r="B497" s="71"/>
      <c r="C497" s="71"/>
      <c r="D497" s="71"/>
      <c r="E497" s="72"/>
      <c r="F497" s="73"/>
      <c r="G497" s="74"/>
      <c r="H497" s="75" t="str">
        <f t="shared" si="58"/>
        <v/>
      </c>
      <c r="I497" s="16" t="str">
        <f t="shared" si="59"/>
        <v/>
      </c>
      <c r="J497" s="76" t="str">
        <f t="shared" si="60"/>
        <v/>
      </c>
      <c r="K497" s="77" t="str">
        <f t="shared" si="61"/>
        <v/>
      </c>
      <c r="L497" s="78" t="str">
        <f t="shared" si="62"/>
        <v/>
      </c>
      <c r="M497" s="4"/>
      <c r="N497" s="79">
        <f>IF(OR($A497="",$B497=""),0,IF(COUNTIFS($A$5:$A497,$A497,$B$5:$B497,$B497)=1,1,0))</f>
        <v>0</v>
      </c>
      <c r="O497" s="79" t="str">
        <f t="shared" si="63"/>
        <v/>
      </c>
      <c r="P497" s="79" t="str">
        <f t="shared" si="64"/>
        <v/>
      </c>
      <c r="AL497" s="89" t="str">
        <f t="shared" ca="1" si="65"/>
        <v/>
      </c>
    </row>
    <row r="498" spans="1:38" x14ac:dyDescent="0.3">
      <c r="A498" s="70"/>
      <c r="B498" s="71"/>
      <c r="C498" s="71"/>
      <c r="D498" s="71"/>
      <c r="E498" s="72"/>
      <c r="F498" s="73"/>
      <c r="G498" s="74"/>
      <c r="H498" s="75" t="str">
        <f t="shared" si="58"/>
        <v/>
      </c>
      <c r="I498" s="16" t="str">
        <f t="shared" si="59"/>
        <v/>
      </c>
      <c r="J498" s="76" t="str">
        <f t="shared" si="60"/>
        <v/>
      </c>
      <c r="K498" s="77" t="str">
        <f t="shared" si="61"/>
        <v/>
      </c>
      <c r="L498" s="78" t="str">
        <f t="shared" si="62"/>
        <v/>
      </c>
      <c r="M498" s="4"/>
      <c r="N498" s="79">
        <f>IF(OR($A498="",$B498=""),0,IF(COUNTIFS($A$5:$A498,$A498,$B$5:$B498,$B498)=1,1,0))</f>
        <v>0</v>
      </c>
      <c r="O498" s="79" t="str">
        <f t="shared" si="63"/>
        <v/>
      </c>
      <c r="P498" s="79" t="str">
        <f t="shared" si="64"/>
        <v/>
      </c>
      <c r="AL498" s="89" t="str">
        <f t="shared" ca="1" si="65"/>
        <v/>
      </c>
    </row>
    <row r="499" spans="1:38" x14ac:dyDescent="0.3">
      <c r="A499" s="70"/>
      <c r="B499" s="71"/>
      <c r="C499" s="71"/>
      <c r="D499" s="71"/>
      <c r="E499" s="72"/>
      <c r="F499" s="73"/>
      <c r="G499" s="74"/>
      <c r="H499" s="75" t="str">
        <f t="shared" si="58"/>
        <v/>
      </c>
      <c r="I499" s="16" t="str">
        <f t="shared" si="59"/>
        <v/>
      </c>
      <c r="J499" s="76" t="str">
        <f t="shared" si="60"/>
        <v/>
      </c>
      <c r="K499" s="77" t="str">
        <f t="shared" si="61"/>
        <v/>
      </c>
      <c r="L499" s="78" t="str">
        <f t="shared" si="62"/>
        <v/>
      </c>
      <c r="M499" s="4"/>
      <c r="N499" s="79">
        <f>IF(OR($A499="",$B499=""),0,IF(COUNTIFS($A$5:$A499,$A499,$B$5:$B499,$B499)=1,1,0))</f>
        <v>0</v>
      </c>
      <c r="O499" s="79" t="str">
        <f t="shared" si="63"/>
        <v/>
      </c>
      <c r="P499" s="79" t="str">
        <f t="shared" si="64"/>
        <v/>
      </c>
      <c r="AL499" s="89" t="str">
        <f t="shared" ca="1" si="65"/>
        <v/>
      </c>
    </row>
    <row r="500" spans="1:38" x14ac:dyDescent="0.3">
      <c r="A500" s="70"/>
      <c r="B500" s="71"/>
      <c r="C500" s="71"/>
      <c r="D500" s="71"/>
      <c r="E500" s="72"/>
      <c r="F500" s="73"/>
      <c r="G500" s="74"/>
      <c r="H500" s="75" t="str">
        <f t="shared" si="58"/>
        <v/>
      </c>
      <c r="I500" s="16" t="str">
        <f t="shared" si="59"/>
        <v/>
      </c>
      <c r="J500" s="76" t="str">
        <f t="shared" si="60"/>
        <v/>
      </c>
      <c r="K500" s="77" t="str">
        <f t="shared" si="61"/>
        <v/>
      </c>
      <c r="L500" s="78" t="str">
        <f t="shared" si="62"/>
        <v/>
      </c>
      <c r="M500" s="4"/>
      <c r="N500" s="79">
        <f>IF(OR($A500="",$B500=""),0,IF(COUNTIFS($A$5:$A500,$A500,$B$5:$B500,$B500)=1,1,0))</f>
        <v>0</v>
      </c>
      <c r="O500" s="79" t="str">
        <f t="shared" si="63"/>
        <v/>
      </c>
      <c r="P500" s="79" t="str">
        <f t="shared" si="64"/>
        <v/>
      </c>
      <c r="AL500" s="89" t="str">
        <f t="shared" ca="1" si="65"/>
        <v/>
      </c>
    </row>
    <row r="501" spans="1:38" x14ac:dyDescent="0.3">
      <c r="A501" s="70"/>
      <c r="B501" s="71"/>
      <c r="C501" s="71"/>
      <c r="D501" s="71"/>
      <c r="E501" s="72"/>
      <c r="F501" s="73"/>
      <c r="G501" s="74"/>
      <c r="H501" s="75" t="str">
        <f t="shared" si="58"/>
        <v/>
      </c>
      <c r="I501" s="16" t="str">
        <f t="shared" si="59"/>
        <v/>
      </c>
      <c r="J501" s="76" t="str">
        <f t="shared" si="60"/>
        <v/>
      </c>
      <c r="K501" s="77" t="str">
        <f t="shared" si="61"/>
        <v/>
      </c>
      <c r="L501" s="78" t="str">
        <f t="shared" si="62"/>
        <v/>
      </c>
      <c r="M501" s="4"/>
      <c r="N501" s="79">
        <f>IF(OR($A501="",$B501=""),0,IF(COUNTIFS($A$5:$A501,$A501,$B$5:$B501,$B501)=1,1,0))</f>
        <v>0</v>
      </c>
      <c r="O501" s="79" t="str">
        <f t="shared" si="63"/>
        <v/>
      </c>
      <c r="P501" s="79" t="str">
        <f t="shared" si="64"/>
        <v/>
      </c>
      <c r="AL501" s="89" t="str">
        <f t="shared" ca="1" si="65"/>
        <v/>
      </c>
    </row>
    <row r="502" spans="1:38" x14ac:dyDescent="0.3">
      <c r="A502" s="70"/>
      <c r="B502" s="71"/>
      <c r="C502" s="71"/>
      <c r="D502" s="71"/>
      <c r="E502" s="72"/>
      <c r="F502" s="73"/>
      <c r="G502" s="74"/>
      <c r="H502" s="75" t="str">
        <f t="shared" si="58"/>
        <v/>
      </c>
      <c r="I502" s="16" t="str">
        <f t="shared" si="59"/>
        <v/>
      </c>
      <c r="J502" s="76" t="str">
        <f t="shared" si="60"/>
        <v/>
      </c>
      <c r="K502" s="77" t="str">
        <f t="shared" si="61"/>
        <v/>
      </c>
      <c r="L502" s="78" t="str">
        <f t="shared" si="62"/>
        <v/>
      </c>
      <c r="M502" s="4"/>
      <c r="N502" s="79">
        <f>IF(OR($A502="",$B502=""),0,IF(COUNTIFS($A$5:$A502,$A502,$B$5:$B502,$B502)=1,1,0))</f>
        <v>0</v>
      </c>
      <c r="O502" s="79" t="str">
        <f t="shared" si="63"/>
        <v/>
      </c>
      <c r="P502" s="79" t="str">
        <f t="shared" si="64"/>
        <v/>
      </c>
      <c r="AL502" s="89" t="str">
        <f t="shared" ca="1" si="65"/>
        <v/>
      </c>
    </row>
    <row r="503" spans="1:38" x14ac:dyDescent="0.3">
      <c r="A503" s="70"/>
      <c r="B503" s="71"/>
      <c r="C503" s="71"/>
      <c r="D503" s="71"/>
      <c r="E503" s="72"/>
      <c r="F503" s="73"/>
      <c r="G503" s="74"/>
      <c r="H503" s="75" t="str">
        <f t="shared" si="58"/>
        <v/>
      </c>
      <c r="I503" s="16" t="str">
        <f t="shared" si="59"/>
        <v/>
      </c>
      <c r="J503" s="76" t="str">
        <f t="shared" si="60"/>
        <v/>
      </c>
      <c r="K503" s="77" t="str">
        <f t="shared" si="61"/>
        <v/>
      </c>
      <c r="L503" s="78" t="str">
        <f t="shared" si="62"/>
        <v/>
      </c>
      <c r="M503" s="4"/>
      <c r="N503" s="79">
        <f>IF(OR($A503="",$B503=""),0,IF(COUNTIFS($A$5:$A503,$A503,$B$5:$B503,$B503)=1,1,0))</f>
        <v>0</v>
      </c>
      <c r="O503" s="79" t="str">
        <f t="shared" si="63"/>
        <v/>
      </c>
      <c r="P503" s="79" t="str">
        <f t="shared" si="64"/>
        <v/>
      </c>
      <c r="AL503" s="89" t="str">
        <f t="shared" ca="1" si="65"/>
        <v/>
      </c>
    </row>
    <row r="504" spans="1:38" x14ac:dyDescent="0.3">
      <c r="A504" s="70"/>
      <c r="B504" s="71"/>
      <c r="C504" s="71"/>
      <c r="D504" s="71"/>
      <c r="E504" s="72"/>
      <c r="F504" s="73"/>
      <c r="G504" s="74"/>
      <c r="H504" s="75" t="str">
        <f t="shared" si="58"/>
        <v/>
      </c>
      <c r="I504" s="16" t="str">
        <f t="shared" si="59"/>
        <v/>
      </c>
      <c r="J504" s="76" t="str">
        <f t="shared" si="60"/>
        <v/>
      </c>
      <c r="K504" s="77" t="str">
        <f t="shared" si="61"/>
        <v/>
      </c>
      <c r="L504" s="78" t="str">
        <f t="shared" si="62"/>
        <v/>
      </c>
      <c r="M504" s="4"/>
      <c r="N504" s="79">
        <f>IF(OR($A504="",$B504=""),0,IF(COUNTIFS($A$5:$A504,$A504,$B$5:$B504,$B504)=1,1,0))</f>
        <v>0</v>
      </c>
      <c r="O504" s="79" t="str">
        <f t="shared" si="63"/>
        <v/>
      </c>
      <c r="P504" s="79" t="str">
        <f t="shared" si="64"/>
        <v/>
      </c>
      <c r="AL504" s="89" t="str">
        <f t="shared" ca="1" si="65"/>
        <v/>
      </c>
    </row>
    <row r="505" spans="1:38" x14ac:dyDescent="0.3">
      <c r="A505" s="70"/>
      <c r="B505" s="71"/>
      <c r="C505" s="71"/>
      <c r="D505" s="71"/>
      <c r="E505" s="72"/>
      <c r="F505" s="73"/>
      <c r="G505" s="74"/>
      <c r="H505" s="75" t="str">
        <f t="shared" si="58"/>
        <v/>
      </c>
      <c r="I505" s="16" t="str">
        <f t="shared" si="59"/>
        <v/>
      </c>
      <c r="J505" s="76" t="str">
        <f t="shared" si="60"/>
        <v/>
      </c>
      <c r="K505" s="77" t="str">
        <f t="shared" si="61"/>
        <v/>
      </c>
      <c r="L505" s="78" t="str">
        <f t="shared" si="62"/>
        <v/>
      </c>
      <c r="M505" s="4"/>
      <c r="N505" s="79">
        <f>IF(OR($A505="",$B505=""),0,IF(COUNTIFS($A$5:$A505,$A505,$B$5:$B505,$B505)=1,1,0))</f>
        <v>0</v>
      </c>
      <c r="O505" s="79" t="str">
        <f t="shared" si="63"/>
        <v/>
      </c>
      <c r="P505" s="79" t="str">
        <f t="shared" si="64"/>
        <v/>
      </c>
      <c r="AL505" s="89" t="str">
        <f t="shared" ca="1" si="65"/>
        <v/>
      </c>
    </row>
    <row r="506" spans="1:38" x14ac:dyDescent="0.3">
      <c r="A506" s="70"/>
      <c r="B506" s="71"/>
      <c r="C506" s="71"/>
      <c r="D506" s="71"/>
      <c r="E506" s="72"/>
      <c r="F506" s="73"/>
      <c r="G506" s="74"/>
      <c r="H506" s="75" t="str">
        <f t="shared" si="58"/>
        <v/>
      </c>
      <c r="I506" s="16" t="str">
        <f t="shared" si="59"/>
        <v/>
      </c>
      <c r="J506" s="76" t="str">
        <f t="shared" si="60"/>
        <v/>
      </c>
      <c r="K506" s="77" t="str">
        <f t="shared" si="61"/>
        <v/>
      </c>
      <c r="L506" s="78" t="str">
        <f t="shared" si="62"/>
        <v/>
      </c>
      <c r="M506" s="4"/>
      <c r="N506" s="79">
        <f>IF(OR($A506="",$B506=""),0,IF(COUNTIFS($A$5:$A506,$A506,$B$5:$B506,$B506)=1,1,0))</f>
        <v>0</v>
      </c>
      <c r="O506" s="79" t="str">
        <f t="shared" si="63"/>
        <v/>
      </c>
      <c r="P506" s="79" t="str">
        <f t="shared" si="64"/>
        <v/>
      </c>
      <c r="AL506" s="89" t="str">
        <f t="shared" ca="1" si="65"/>
        <v/>
      </c>
    </row>
    <row r="507" spans="1:38" x14ac:dyDescent="0.3">
      <c r="A507" s="70"/>
      <c r="B507" s="71"/>
      <c r="C507" s="71"/>
      <c r="D507" s="71"/>
      <c r="E507" s="72"/>
      <c r="F507" s="73"/>
      <c r="G507" s="74"/>
      <c r="H507" s="75" t="str">
        <f t="shared" si="58"/>
        <v/>
      </c>
      <c r="I507" s="16" t="str">
        <f t="shared" si="59"/>
        <v/>
      </c>
      <c r="J507" s="76" t="str">
        <f t="shared" si="60"/>
        <v/>
      </c>
      <c r="K507" s="77" t="str">
        <f t="shared" si="61"/>
        <v/>
      </c>
      <c r="L507" s="78" t="str">
        <f t="shared" si="62"/>
        <v/>
      </c>
      <c r="M507" s="4"/>
      <c r="N507" s="79">
        <f>IF(OR($A507="",$B507=""),0,IF(COUNTIFS($A$5:$A507,$A507,$B$5:$B507,$B507)=1,1,0))</f>
        <v>0</v>
      </c>
      <c r="O507" s="79" t="str">
        <f t="shared" si="63"/>
        <v/>
      </c>
      <c r="P507" s="79" t="str">
        <f t="shared" si="64"/>
        <v/>
      </c>
      <c r="AL507" s="89" t="str">
        <f t="shared" ca="1" si="65"/>
        <v/>
      </c>
    </row>
    <row r="508" spans="1:38" x14ac:dyDescent="0.3">
      <c r="A508" s="70"/>
      <c r="B508" s="71"/>
      <c r="C508" s="71"/>
      <c r="D508" s="71"/>
      <c r="E508" s="72"/>
      <c r="F508" s="73"/>
      <c r="G508" s="74"/>
      <c r="H508" s="75" t="str">
        <f t="shared" si="58"/>
        <v/>
      </c>
      <c r="I508" s="16" t="str">
        <f t="shared" si="59"/>
        <v/>
      </c>
      <c r="J508" s="76" t="str">
        <f t="shared" si="60"/>
        <v/>
      </c>
      <c r="K508" s="77" t="str">
        <f t="shared" si="61"/>
        <v/>
      </c>
      <c r="L508" s="78" t="str">
        <f t="shared" si="62"/>
        <v/>
      </c>
      <c r="M508" s="4"/>
      <c r="N508" s="79">
        <f>IF(OR($A508="",$B508=""),0,IF(COUNTIFS($A$5:$A508,$A508,$B$5:$B508,$B508)=1,1,0))</f>
        <v>0</v>
      </c>
      <c r="O508" s="79" t="str">
        <f t="shared" si="63"/>
        <v/>
      </c>
      <c r="P508" s="79" t="str">
        <f t="shared" si="64"/>
        <v/>
      </c>
      <c r="AL508" s="89" t="str">
        <f t="shared" ca="1" si="65"/>
        <v/>
      </c>
    </row>
    <row r="509" spans="1:38" x14ac:dyDescent="0.3">
      <c r="A509" s="70"/>
      <c r="B509" s="71"/>
      <c r="C509" s="71"/>
      <c r="D509" s="71"/>
      <c r="E509" s="72"/>
      <c r="F509" s="73"/>
      <c r="G509" s="74"/>
      <c r="H509" s="75" t="str">
        <f t="shared" si="58"/>
        <v/>
      </c>
      <c r="I509" s="16" t="str">
        <f t="shared" si="59"/>
        <v/>
      </c>
      <c r="J509" s="76" t="str">
        <f t="shared" si="60"/>
        <v/>
      </c>
      <c r="K509" s="77" t="str">
        <f t="shared" si="61"/>
        <v/>
      </c>
      <c r="L509" s="78" t="str">
        <f t="shared" si="62"/>
        <v/>
      </c>
      <c r="M509" s="4"/>
      <c r="N509" s="79">
        <f>IF(OR($A509="",$B509=""),0,IF(COUNTIFS($A$5:$A509,$A509,$B$5:$B509,$B509)=1,1,0))</f>
        <v>0</v>
      </c>
      <c r="O509" s="79" t="str">
        <f t="shared" si="63"/>
        <v/>
      </c>
      <c r="P509" s="79" t="str">
        <f t="shared" si="64"/>
        <v/>
      </c>
      <c r="AL509" s="89" t="str">
        <f t="shared" ca="1" si="65"/>
        <v/>
      </c>
    </row>
    <row r="510" spans="1:38" x14ac:dyDescent="0.3">
      <c r="A510" s="70"/>
      <c r="B510" s="71"/>
      <c r="C510" s="71"/>
      <c r="D510" s="71"/>
      <c r="E510" s="72"/>
      <c r="F510" s="73"/>
      <c r="G510" s="74"/>
      <c r="H510" s="75" t="str">
        <f t="shared" si="58"/>
        <v/>
      </c>
      <c r="I510" s="16" t="str">
        <f t="shared" si="59"/>
        <v/>
      </c>
      <c r="J510" s="76" t="str">
        <f t="shared" si="60"/>
        <v/>
      </c>
      <c r="K510" s="77" t="str">
        <f t="shared" si="61"/>
        <v/>
      </c>
      <c r="L510" s="78" t="str">
        <f t="shared" si="62"/>
        <v/>
      </c>
      <c r="M510" s="4"/>
      <c r="N510" s="79">
        <f>IF(OR($A510="",$B510=""),0,IF(COUNTIFS($A$5:$A510,$A510,$B$5:$B510,$B510)=1,1,0))</f>
        <v>0</v>
      </c>
      <c r="O510" s="79" t="str">
        <f t="shared" si="63"/>
        <v/>
      </c>
      <c r="P510" s="79" t="str">
        <f t="shared" si="64"/>
        <v/>
      </c>
      <c r="AL510" s="89" t="str">
        <f t="shared" ca="1" si="65"/>
        <v/>
      </c>
    </row>
    <row r="511" spans="1:38" x14ac:dyDescent="0.3">
      <c r="A511" s="70"/>
      <c r="B511" s="71"/>
      <c r="C511" s="71"/>
      <c r="D511" s="71"/>
      <c r="E511" s="72"/>
      <c r="F511" s="73"/>
      <c r="G511" s="74"/>
      <c r="H511" s="75" t="str">
        <f t="shared" si="58"/>
        <v/>
      </c>
      <c r="I511" s="16" t="str">
        <f t="shared" si="59"/>
        <v/>
      </c>
      <c r="J511" s="76" t="str">
        <f t="shared" si="60"/>
        <v/>
      </c>
      <c r="K511" s="77" t="str">
        <f t="shared" si="61"/>
        <v/>
      </c>
      <c r="L511" s="78" t="str">
        <f t="shared" si="62"/>
        <v/>
      </c>
      <c r="M511" s="4"/>
      <c r="N511" s="79">
        <f>IF(OR($A511="",$B511=""),0,IF(COUNTIFS($A$5:$A511,$A511,$B$5:$B511,$B511)=1,1,0))</f>
        <v>0</v>
      </c>
      <c r="O511" s="79" t="str">
        <f t="shared" si="63"/>
        <v/>
      </c>
      <c r="P511" s="79" t="str">
        <f t="shared" si="64"/>
        <v/>
      </c>
      <c r="AL511" s="89" t="str">
        <f t="shared" ca="1" si="65"/>
        <v/>
      </c>
    </row>
    <row r="512" spans="1:38" x14ac:dyDescent="0.3">
      <c r="A512" s="70"/>
      <c r="B512" s="71"/>
      <c r="C512" s="71"/>
      <c r="D512" s="71"/>
      <c r="E512" s="72"/>
      <c r="F512" s="73"/>
      <c r="G512" s="74"/>
      <c r="H512" s="75" t="str">
        <f t="shared" si="58"/>
        <v/>
      </c>
      <c r="I512" s="16" t="str">
        <f t="shared" si="59"/>
        <v/>
      </c>
      <c r="J512" s="76" t="str">
        <f t="shared" si="60"/>
        <v/>
      </c>
      <c r="K512" s="77" t="str">
        <f t="shared" si="61"/>
        <v/>
      </c>
      <c r="L512" s="78" t="str">
        <f t="shared" si="62"/>
        <v/>
      </c>
      <c r="M512" s="4"/>
      <c r="N512" s="79">
        <f>IF(OR($A512="",$B512=""),0,IF(COUNTIFS($A$5:$A512,$A512,$B$5:$B512,$B512)=1,1,0))</f>
        <v>0</v>
      </c>
      <c r="O512" s="79" t="str">
        <f t="shared" si="63"/>
        <v/>
      </c>
      <c r="P512" s="79" t="str">
        <f t="shared" si="64"/>
        <v/>
      </c>
      <c r="AL512" s="89" t="str">
        <f t="shared" ca="1" si="65"/>
        <v/>
      </c>
    </row>
    <row r="513" spans="1:38" x14ac:dyDescent="0.3">
      <c r="A513" s="70"/>
      <c r="B513" s="71"/>
      <c r="C513" s="71"/>
      <c r="D513" s="71"/>
      <c r="E513" s="72"/>
      <c r="F513" s="73"/>
      <c r="G513" s="74"/>
      <c r="H513" s="75" t="str">
        <f t="shared" si="58"/>
        <v/>
      </c>
      <c r="I513" s="16" t="str">
        <f t="shared" si="59"/>
        <v/>
      </c>
      <c r="J513" s="76" t="str">
        <f t="shared" si="60"/>
        <v/>
      </c>
      <c r="K513" s="77" t="str">
        <f t="shared" si="61"/>
        <v/>
      </c>
      <c r="L513" s="78" t="str">
        <f t="shared" si="62"/>
        <v/>
      </c>
      <c r="M513" s="4"/>
      <c r="N513" s="79">
        <f>IF(OR($A513="",$B513=""),0,IF(COUNTIFS($A$5:$A513,$A513,$B$5:$B513,$B513)=1,1,0))</f>
        <v>0</v>
      </c>
      <c r="O513" s="79" t="str">
        <f t="shared" si="63"/>
        <v/>
      </c>
      <c r="P513" s="79" t="str">
        <f t="shared" si="64"/>
        <v/>
      </c>
      <c r="AL513" s="89" t="str">
        <f t="shared" ca="1" si="65"/>
        <v/>
      </c>
    </row>
    <row r="514" spans="1:38" x14ac:dyDescent="0.3">
      <c r="A514" s="70"/>
      <c r="B514" s="71"/>
      <c r="C514" s="71"/>
      <c r="D514" s="71"/>
      <c r="E514" s="72"/>
      <c r="F514" s="73"/>
      <c r="G514" s="74"/>
      <c r="H514" s="75" t="str">
        <f t="shared" si="58"/>
        <v/>
      </c>
      <c r="I514" s="16" t="str">
        <f t="shared" si="59"/>
        <v/>
      </c>
      <c r="J514" s="76" t="str">
        <f t="shared" si="60"/>
        <v/>
      </c>
      <c r="K514" s="77" t="str">
        <f t="shared" si="61"/>
        <v/>
      </c>
      <c r="L514" s="78" t="str">
        <f t="shared" si="62"/>
        <v/>
      </c>
      <c r="M514" s="4"/>
      <c r="N514" s="79">
        <f>IF(OR($A514="",$B514=""),0,IF(COUNTIFS($A$5:$A514,$A514,$B$5:$B514,$B514)=1,1,0))</f>
        <v>0</v>
      </c>
      <c r="O514" s="79" t="str">
        <f t="shared" si="63"/>
        <v/>
      </c>
      <c r="P514" s="79" t="str">
        <f t="shared" si="64"/>
        <v/>
      </c>
      <c r="AL514" s="89" t="str">
        <f t="shared" ca="1" si="65"/>
        <v/>
      </c>
    </row>
    <row r="515" spans="1:38" x14ac:dyDescent="0.3">
      <c r="A515" s="70"/>
      <c r="B515" s="71"/>
      <c r="C515" s="71"/>
      <c r="D515" s="71"/>
      <c r="E515" s="72"/>
      <c r="F515" s="73"/>
      <c r="G515" s="74"/>
      <c r="H515" s="75" t="str">
        <f t="shared" si="58"/>
        <v/>
      </c>
      <c r="I515" s="16" t="str">
        <f t="shared" si="59"/>
        <v/>
      </c>
      <c r="J515" s="76" t="str">
        <f t="shared" si="60"/>
        <v/>
      </c>
      <c r="K515" s="77" t="str">
        <f t="shared" si="61"/>
        <v/>
      </c>
      <c r="L515" s="78" t="str">
        <f t="shared" si="62"/>
        <v/>
      </c>
      <c r="M515" s="4"/>
      <c r="N515" s="79">
        <f>IF(OR($A515="",$B515=""),0,IF(COUNTIFS($A$5:$A515,$A515,$B$5:$B515,$B515)=1,1,0))</f>
        <v>0</v>
      </c>
      <c r="O515" s="79" t="str">
        <f t="shared" si="63"/>
        <v/>
      </c>
      <c r="P515" s="79" t="str">
        <f t="shared" si="64"/>
        <v/>
      </c>
      <c r="AL515" s="89" t="str">
        <f t="shared" ca="1" si="65"/>
        <v/>
      </c>
    </row>
    <row r="516" spans="1:38" x14ac:dyDescent="0.3">
      <c r="A516" s="70"/>
      <c r="B516" s="71"/>
      <c r="C516" s="71"/>
      <c r="D516" s="71"/>
      <c r="E516" s="72"/>
      <c r="F516" s="73"/>
      <c r="G516" s="74"/>
      <c r="H516" s="75" t="str">
        <f t="shared" si="58"/>
        <v/>
      </c>
      <c r="I516" s="16" t="str">
        <f t="shared" si="59"/>
        <v/>
      </c>
      <c r="J516" s="76" t="str">
        <f t="shared" si="60"/>
        <v/>
      </c>
      <c r="K516" s="77" t="str">
        <f t="shared" si="61"/>
        <v/>
      </c>
      <c r="L516" s="78" t="str">
        <f t="shared" si="62"/>
        <v/>
      </c>
      <c r="M516" s="4"/>
      <c r="N516" s="79">
        <f>IF(OR($A516="",$B516=""),0,IF(COUNTIFS($A$5:$A516,$A516,$B$5:$B516,$B516)=1,1,0))</f>
        <v>0</v>
      </c>
      <c r="O516" s="79" t="str">
        <f t="shared" si="63"/>
        <v/>
      </c>
      <c r="P516" s="79" t="str">
        <f t="shared" si="64"/>
        <v/>
      </c>
      <c r="AL516" s="89" t="str">
        <f t="shared" ca="1" si="65"/>
        <v/>
      </c>
    </row>
    <row r="517" spans="1:38" x14ac:dyDescent="0.3">
      <c r="A517" s="70"/>
      <c r="B517" s="71"/>
      <c r="C517" s="71"/>
      <c r="D517" s="71"/>
      <c r="E517" s="72"/>
      <c r="F517" s="73"/>
      <c r="G517" s="74"/>
      <c r="H517" s="75" t="str">
        <f t="shared" ref="H517:H580" si="66">IF(OR($A517="",$B517="",$I517=""),"",SUMPRODUCT(($A$5:$A$604=$A517)*($B$5:$B$604=$B517)*($I$5:$I$604&lt;&gt;"")*($I$5:$I$604&lt;$I517))+SUMPRODUCT(($A$5:$A$604=$A517)*($B$5:$B$604=$B517)*($I$5:$I$604=$I517)*(ROW($I$5:$I$604)&lt;=ROW($I517))))</f>
        <v/>
      </c>
      <c r="I517" s="16" t="str">
        <f t="shared" ref="I517:I580" si="67">IF(TRIM($C517&amp;$D517)="","",PROPER(TRIM($C517))&amp;" "&amp;UPPER(TRIM($D517)))</f>
        <v/>
      </c>
      <c r="J517" s="76" t="str">
        <f t="shared" ref="J517:J580" si="68">IF(OR($A517="",$B517="",$H517=""),"",$A517&amp;"|"&amp;$B517&amp;"|"&amp;$H517)</f>
        <v/>
      </c>
      <c r="K517" s="77" t="str">
        <f t="shared" ref="K517:K580" si="69">IF(COUNTA($A517:$E517)=0,"",IF($A517="","← Nurodykite lygą (A / B / C)",IF($B517="","← Nurodykite komandą",IF(TRIM($C517)="","← Nurodykite vardą",IF(TRIM($D517)="","← Nurodykite pavardę",IF(NOT(ISNUMBER($E517)),"← Nurodykite Hcp (jei neturi – 0)",IF(AND(OR($A517="B",$A517="C"),NOT(OR($F517="Rytai",$F517="Vakarai"))),"← Nurodykite pogrupį (Rytai / Vakarai)",IF(AND($A517="A",OR($F517="Rytai",$F517="Vakarai")),"← A lygos komandos į pogrupius neskirstomos",IF(COUNTIFS($A$5:$A$604,$A517,$B$5:$B$604,$B517,$F$5:$F$604,"&lt;&gt;"&amp;$F517)&gt;0,"← Šios komandos pogrupis nurodytas nevienodai",IF($H517&gt;8,"← Šioje komandoje jau daugiau nei 8 žaidėjai",""))))))))))</f>
        <v/>
      </c>
      <c r="L517" s="78" t="str">
        <f t="shared" ref="L517:L580" si="70">IF($I517="","",IF(COUNTIF($I$5:$I$604,$I517)&gt;1,"ℹ tokių pačių vardų sąraše: "&amp;COUNTIF($I$5:$I$604,$I517),IF(AND($B517&lt;&gt;"",COUNTIFS($A$5:$A$604,$A517,$B$5:$B$604,$B517)&lt;3),"ℹ šioje komandoje tik "&amp;COUNTIFS($A$5:$A$604,$A517,$B$5:$B$604,$B517)&amp;" žaid. – ar ne rašybos klaida?","")))</f>
        <v/>
      </c>
      <c r="M517" s="4"/>
      <c r="N517" s="79">
        <f>IF(OR($A517="",$B517=""),0,IF(COUNTIFS($A$5:$A517,$A517,$B$5:$B517,$B517)=1,1,0))</f>
        <v>0</v>
      </c>
      <c r="O517" s="79" t="str">
        <f t="shared" ref="O517:O580" si="71">IF($N517&lt;&gt;1,"",1+SUMPRODUCT(($A$5:$A$604=$A517)*($B$5:$B$604&lt;$B517)*($N$5:$N$604=1)))</f>
        <v/>
      </c>
      <c r="P517" s="79" t="str">
        <f t="shared" ref="P517:P580" si="72">IF(OR($N517&lt;&gt;1,$A517&lt;&gt;Lyga,AND(Pogrupis&lt;&gt;"",$F517&lt;&gt;Pogrupis)),"",1+SUMPRODUCT(($A$5:$A$604=Lyga)*($N$5:$N$604=1)*($B$5:$B$604&lt;$B517)*((($F$5:$F$604=Pogrupis)+(Pogrupis=""))&gt;0)))</f>
        <v/>
      </c>
      <c r="AL517" s="89" t="str">
        <f t="shared" ref="AL517:AL580" ca="1" si="73">IF(NOT(OR($A517="A",$A517="B",$A517="C")),"","ADMIN_Duomenys!$"&amp;IF($A517="A","W",IF($A517="B","Y","AA"))&amp;"$5:$"&amp;IF($A517="A","W",IF($A517="B","Y","AA"))&amp;"$"&amp;(4+MAX(1,COUNTIF(INDIRECT("ADMIN_Duomenys!$"&amp;IF($A517="A","W",IF($A517="B","Y","AA"))&amp;"$5:$"&amp;IF($A517="A","W",IF($A517="B","Y","AA"))&amp;"$44"),"?*"))))</f>
        <v/>
      </c>
    </row>
    <row r="518" spans="1:38" x14ac:dyDescent="0.3">
      <c r="A518" s="70"/>
      <c r="B518" s="71"/>
      <c r="C518" s="71"/>
      <c r="D518" s="71"/>
      <c r="E518" s="72"/>
      <c r="F518" s="73"/>
      <c r="G518" s="74"/>
      <c r="H518" s="75" t="str">
        <f t="shared" si="66"/>
        <v/>
      </c>
      <c r="I518" s="16" t="str">
        <f t="shared" si="67"/>
        <v/>
      </c>
      <c r="J518" s="76" t="str">
        <f t="shared" si="68"/>
        <v/>
      </c>
      <c r="K518" s="77" t="str">
        <f t="shared" si="69"/>
        <v/>
      </c>
      <c r="L518" s="78" t="str">
        <f t="shared" si="70"/>
        <v/>
      </c>
      <c r="M518" s="4"/>
      <c r="N518" s="79">
        <f>IF(OR($A518="",$B518=""),0,IF(COUNTIFS($A$5:$A518,$A518,$B$5:$B518,$B518)=1,1,0))</f>
        <v>0</v>
      </c>
      <c r="O518" s="79" t="str">
        <f t="shared" si="71"/>
        <v/>
      </c>
      <c r="P518" s="79" t="str">
        <f t="shared" si="72"/>
        <v/>
      </c>
      <c r="AL518" s="89" t="str">
        <f t="shared" ca="1" si="73"/>
        <v/>
      </c>
    </row>
    <row r="519" spans="1:38" x14ac:dyDescent="0.3">
      <c r="A519" s="70"/>
      <c r="B519" s="71"/>
      <c r="C519" s="71"/>
      <c r="D519" s="71"/>
      <c r="E519" s="72"/>
      <c r="F519" s="73"/>
      <c r="G519" s="74"/>
      <c r="H519" s="75" t="str">
        <f t="shared" si="66"/>
        <v/>
      </c>
      <c r="I519" s="16" t="str">
        <f t="shared" si="67"/>
        <v/>
      </c>
      <c r="J519" s="76" t="str">
        <f t="shared" si="68"/>
        <v/>
      </c>
      <c r="K519" s="77" t="str">
        <f t="shared" si="69"/>
        <v/>
      </c>
      <c r="L519" s="78" t="str">
        <f t="shared" si="70"/>
        <v/>
      </c>
      <c r="M519" s="4"/>
      <c r="N519" s="79">
        <f>IF(OR($A519="",$B519=""),0,IF(COUNTIFS($A$5:$A519,$A519,$B$5:$B519,$B519)=1,1,0))</f>
        <v>0</v>
      </c>
      <c r="O519" s="79" t="str">
        <f t="shared" si="71"/>
        <v/>
      </c>
      <c r="P519" s="79" t="str">
        <f t="shared" si="72"/>
        <v/>
      </c>
      <c r="AL519" s="89" t="str">
        <f t="shared" ca="1" si="73"/>
        <v/>
      </c>
    </row>
    <row r="520" spans="1:38" x14ac:dyDescent="0.3">
      <c r="A520" s="70"/>
      <c r="B520" s="71"/>
      <c r="C520" s="71"/>
      <c r="D520" s="71"/>
      <c r="E520" s="72"/>
      <c r="F520" s="73"/>
      <c r="G520" s="74"/>
      <c r="H520" s="75" t="str">
        <f t="shared" si="66"/>
        <v/>
      </c>
      <c r="I520" s="16" t="str">
        <f t="shared" si="67"/>
        <v/>
      </c>
      <c r="J520" s="76" t="str">
        <f t="shared" si="68"/>
        <v/>
      </c>
      <c r="K520" s="77" t="str">
        <f t="shared" si="69"/>
        <v/>
      </c>
      <c r="L520" s="78" t="str">
        <f t="shared" si="70"/>
        <v/>
      </c>
      <c r="M520" s="4"/>
      <c r="N520" s="79">
        <f>IF(OR($A520="",$B520=""),0,IF(COUNTIFS($A$5:$A520,$A520,$B$5:$B520,$B520)=1,1,0))</f>
        <v>0</v>
      </c>
      <c r="O520" s="79" t="str">
        <f t="shared" si="71"/>
        <v/>
      </c>
      <c r="P520" s="79" t="str">
        <f t="shared" si="72"/>
        <v/>
      </c>
      <c r="AL520" s="89" t="str">
        <f t="shared" ca="1" si="73"/>
        <v/>
      </c>
    </row>
    <row r="521" spans="1:38" x14ac:dyDescent="0.3">
      <c r="A521" s="70"/>
      <c r="B521" s="71"/>
      <c r="C521" s="71"/>
      <c r="D521" s="71"/>
      <c r="E521" s="72"/>
      <c r="F521" s="73"/>
      <c r="G521" s="74"/>
      <c r="H521" s="75" t="str">
        <f t="shared" si="66"/>
        <v/>
      </c>
      <c r="I521" s="16" t="str">
        <f t="shared" si="67"/>
        <v/>
      </c>
      <c r="J521" s="76" t="str">
        <f t="shared" si="68"/>
        <v/>
      </c>
      <c r="K521" s="77" t="str">
        <f t="shared" si="69"/>
        <v/>
      </c>
      <c r="L521" s="78" t="str">
        <f t="shared" si="70"/>
        <v/>
      </c>
      <c r="M521" s="4"/>
      <c r="N521" s="79">
        <f>IF(OR($A521="",$B521=""),0,IF(COUNTIFS($A$5:$A521,$A521,$B$5:$B521,$B521)=1,1,0))</f>
        <v>0</v>
      </c>
      <c r="O521" s="79" t="str">
        <f t="shared" si="71"/>
        <v/>
      </c>
      <c r="P521" s="79" t="str">
        <f t="shared" si="72"/>
        <v/>
      </c>
      <c r="AL521" s="89" t="str">
        <f t="shared" ca="1" si="73"/>
        <v/>
      </c>
    </row>
    <row r="522" spans="1:38" x14ac:dyDescent="0.3">
      <c r="A522" s="70"/>
      <c r="B522" s="71"/>
      <c r="C522" s="71"/>
      <c r="D522" s="71"/>
      <c r="E522" s="72"/>
      <c r="F522" s="73"/>
      <c r="G522" s="74"/>
      <c r="H522" s="75" t="str">
        <f t="shared" si="66"/>
        <v/>
      </c>
      <c r="I522" s="16" t="str">
        <f t="shared" si="67"/>
        <v/>
      </c>
      <c r="J522" s="76" t="str">
        <f t="shared" si="68"/>
        <v/>
      </c>
      <c r="K522" s="77" t="str">
        <f t="shared" si="69"/>
        <v/>
      </c>
      <c r="L522" s="78" t="str">
        <f t="shared" si="70"/>
        <v/>
      </c>
      <c r="M522" s="4"/>
      <c r="N522" s="79">
        <f>IF(OR($A522="",$B522=""),0,IF(COUNTIFS($A$5:$A522,$A522,$B$5:$B522,$B522)=1,1,0))</f>
        <v>0</v>
      </c>
      <c r="O522" s="79" t="str">
        <f t="shared" si="71"/>
        <v/>
      </c>
      <c r="P522" s="79" t="str">
        <f t="shared" si="72"/>
        <v/>
      </c>
      <c r="AL522" s="89" t="str">
        <f t="shared" ca="1" si="73"/>
        <v/>
      </c>
    </row>
    <row r="523" spans="1:38" x14ac:dyDescent="0.3">
      <c r="A523" s="70"/>
      <c r="B523" s="71"/>
      <c r="C523" s="71"/>
      <c r="D523" s="71"/>
      <c r="E523" s="72"/>
      <c r="F523" s="73"/>
      <c r="G523" s="74"/>
      <c r="H523" s="75" t="str">
        <f t="shared" si="66"/>
        <v/>
      </c>
      <c r="I523" s="16" t="str">
        <f t="shared" si="67"/>
        <v/>
      </c>
      <c r="J523" s="76" t="str">
        <f t="shared" si="68"/>
        <v/>
      </c>
      <c r="K523" s="77" t="str">
        <f t="shared" si="69"/>
        <v/>
      </c>
      <c r="L523" s="78" t="str">
        <f t="shared" si="70"/>
        <v/>
      </c>
      <c r="M523" s="4"/>
      <c r="N523" s="79">
        <f>IF(OR($A523="",$B523=""),0,IF(COUNTIFS($A$5:$A523,$A523,$B$5:$B523,$B523)=1,1,0))</f>
        <v>0</v>
      </c>
      <c r="O523" s="79" t="str">
        <f t="shared" si="71"/>
        <v/>
      </c>
      <c r="P523" s="79" t="str">
        <f t="shared" si="72"/>
        <v/>
      </c>
      <c r="AL523" s="89" t="str">
        <f t="shared" ca="1" si="73"/>
        <v/>
      </c>
    </row>
    <row r="524" spans="1:38" x14ac:dyDescent="0.3">
      <c r="A524" s="70"/>
      <c r="B524" s="71"/>
      <c r="C524" s="71"/>
      <c r="D524" s="71"/>
      <c r="E524" s="72"/>
      <c r="F524" s="73"/>
      <c r="G524" s="74"/>
      <c r="H524" s="75" t="str">
        <f t="shared" si="66"/>
        <v/>
      </c>
      <c r="I524" s="16" t="str">
        <f t="shared" si="67"/>
        <v/>
      </c>
      <c r="J524" s="76" t="str">
        <f t="shared" si="68"/>
        <v/>
      </c>
      <c r="K524" s="77" t="str">
        <f t="shared" si="69"/>
        <v/>
      </c>
      <c r="L524" s="78" t="str">
        <f t="shared" si="70"/>
        <v/>
      </c>
      <c r="M524" s="4"/>
      <c r="N524" s="79">
        <f>IF(OR($A524="",$B524=""),0,IF(COUNTIFS($A$5:$A524,$A524,$B$5:$B524,$B524)=1,1,0))</f>
        <v>0</v>
      </c>
      <c r="O524" s="79" t="str">
        <f t="shared" si="71"/>
        <v/>
      </c>
      <c r="P524" s="79" t="str">
        <f t="shared" si="72"/>
        <v/>
      </c>
      <c r="AL524" s="89" t="str">
        <f t="shared" ca="1" si="73"/>
        <v/>
      </c>
    </row>
    <row r="525" spans="1:38" x14ac:dyDescent="0.3">
      <c r="A525" s="70"/>
      <c r="B525" s="71"/>
      <c r="C525" s="71"/>
      <c r="D525" s="71"/>
      <c r="E525" s="72"/>
      <c r="F525" s="73"/>
      <c r="G525" s="74"/>
      <c r="H525" s="75" t="str">
        <f t="shared" si="66"/>
        <v/>
      </c>
      <c r="I525" s="16" t="str">
        <f t="shared" si="67"/>
        <v/>
      </c>
      <c r="J525" s="76" t="str">
        <f t="shared" si="68"/>
        <v/>
      </c>
      <c r="K525" s="77" t="str">
        <f t="shared" si="69"/>
        <v/>
      </c>
      <c r="L525" s="78" t="str">
        <f t="shared" si="70"/>
        <v/>
      </c>
      <c r="M525" s="4"/>
      <c r="N525" s="79">
        <f>IF(OR($A525="",$B525=""),0,IF(COUNTIFS($A$5:$A525,$A525,$B$5:$B525,$B525)=1,1,0))</f>
        <v>0</v>
      </c>
      <c r="O525" s="79" t="str">
        <f t="shared" si="71"/>
        <v/>
      </c>
      <c r="P525" s="79" t="str">
        <f t="shared" si="72"/>
        <v/>
      </c>
      <c r="AL525" s="89" t="str">
        <f t="shared" ca="1" si="73"/>
        <v/>
      </c>
    </row>
    <row r="526" spans="1:38" x14ac:dyDescent="0.3">
      <c r="A526" s="70"/>
      <c r="B526" s="71"/>
      <c r="C526" s="71"/>
      <c r="D526" s="71"/>
      <c r="E526" s="72"/>
      <c r="F526" s="73"/>
      <c r="G526" s="74"/>
      <c r="H526" s="75" t="str">
        <f t="shared" si="66"/>
        <v/>
      </c>
      <c r="I526" s="16" t="str">
        <f t="shared" si="67"/>
        <v/>
      </c>
      <c r="J526" s="76" t="str">
        <f t="shared" si="68"/>
        <v/>
      </c>
      <c r="K526" s="77" t="str">
        <f t="shared" si="69"/>
        <v/>
      </c>
      <c r="L526" s="78" t="str">
        <f t="shared" si="70"/>
        <v/>
      </c>
      <c r="M526" s="4"/>
      <c r="N526" s="79">
        <f>IF(OR($A526="",$B526=""),0,IF(COUNTIFS($A$5:$A526,$A526,$B$5:$B526,$B526)=1,1,0))</f>
        <v>0</v>
      </c>
      <c r="O526" s="79" t="str">
        <f t="shared" si="71"/>
        <v/>
      </c>
      <c r="P526" s="79" t="str">
        <f t="shared" si="72"/>
        <v/>
      </c>
      <c r="AL526" s="89" t="str">
        <f t="shared" ca="1" si="73"/>
        <v/>
      </c>
    </row>
    <row r="527" spans="1:38" x14ac:dyDescent="0.3">
      <c r="A527" s="70"/>
      <c r="B527" s="71"/>
      <c r="C527" s="71"/>
      <c r="D527" s="71"/>
      <c r="E527" s="72"/>
      <c r="F527" s="73"/>
      <c r="G527" s="74"/>
      <c r="H527" s="75" t="str">
        <f t="shared" si="66"/>
        <v/>
      </c>
      <c r="I527" s="16" t="str">
        <f t="shared" si="67"/>
        <v/>
      </c>
      <c r="J527" s="76" t="str">
        <f t="shared" si="68"/>
        <v/>
      </c>
      <c r="K527" s="77" t="str">
        <f t="shared" si="69"/>
        <v/>
      </c>
      <c r="L527" s="78" t="str">
        <f t="shared" si="70"/>
        <v/>
      </c>
      <c r="M527" s="4"/>
      <c r="N527" s="79">
        <f>IF(OR($A527="",$B527=""),0,IF(COUNTIFS($A$5:$A527,$A527,$B$5:$B527,$B527)=1,1,0))</f>
        <v>0</v>
      </c>
      <c r="O527" s="79" t="str">
        <f t="shared" si="71"/>
        <v/>
      </c>
      <c r="P527" s="79" t="str">
        <f t="shared" si="72"/>
        <v/>
      </c>
      <c r="AL527" s="89" t="str">
        <f t="shared" ca="1" si="73"/>
        <v/>
      </c>
    </row>
    <row r="528" spans="1:38" x14ac:dyDescent="0.3">
      <c r="A528" s="70"/>
      <c r="B528" s="71"/>
      <c r="C528" s="71"/>
      <c r="D528" s="71"/>
      <c r="E528" s="72"/>
      <c r="F528" s="73"/>
      <c r="G528" s="74"/>
      <c r="H528" s="75" t="str">
        <f t="shared" si="66"/>
        <v/>
      </c>
      <c r="I528" s="16" t="str">
        <f t="shared" si="67"/>
        <v/>
      </c>
      <c r="J528" s="76" t="str">
        <f t="shared" si="68"/>
        <v/>
      </c>
      <c r="K528" s="77" t="str">
        <f t="shared" si="69"/>
        <v/>
      </c>
      <c r="L528" s="78" t="str">
        <f t="shared" si="70"/>
        <v/>
      </c>
      <c r="M528" s="4"/>
      <c r="N528" s="79">
        <f>IF(OR($A528="",$B528=""),0,IF(COUNTIFS($A$5:$A528,$A528,$B$5:$B528,$B528)=1,1,0))</f>
        <v>0</v>
      </c>
      <c r="O528" s="79" t="str">
        <f t="shared" si="71"/>
        <v/>
      </c>
      <c r="P528" s="79" t="str">
        <f t="shared" si="72"/>
        <v/>
      </c>
      <c r="AL528" s="89" t="str">
        <f t="shared" ca="1" si="73"/>
        <v/>
      </c>
    </row>
    <row r="529" spans="1:38" x14ac:dyDescent="0.3">
      <c r="A529" s="70"/>
      <c r="B529" s="71"/>
      <c r="C529" s="71"/>
      <c r="D529" s="71"/>
      <c r="E529" s="72"/>
      <c r="F529" s="73"/>
      <c r="G529" s="74"/>
      <c r="H529" s="75" t="str">
        <f t="shared" si="66"/>
        <v/>
      </c>
      <c r="I529" s="16" t="str">
        <f t="shared" si="67"/>
        <v/>
      </c>
      <c r="J529" s="76" t="str">
        <f t="shared" si="68"/>
        <v/>
      </c>
      <c r="K529" s="77" t="str">
        <f t="shared" si="69"/>
        <v/>
      </c>
      <c r="L529" s="78" t="str">
        <f t="shared" si="70"/>
        <v/>
      </c>
      <c r="M529" s="4"/>
      <c r="N529" s="79">
        <f>IF(OR($A529="",$B529=""),0,IF(COUNTIFS($A$5:$A529,$A529,$B$5:$B529,$B529)=1,1,0))</f>
        <v>0</v>
      </c>
      <c r="O529" s="79" t="str">
        <f t="shared" si="71"/>
        <v/>
      </c>
      <c r="P529" s="79" t="str">
        <f t="shared" si="72"/>
        <v/>
      </c>
      <c r="AL529" s="89" t="str">
        <f t="shared" ca="1" si="73"/>
        <v/>
      </c>
    </row>
    <row r="530" spans="1:38" x14ac:dyDescent="0.3">
      <c r="A530" s="70"/>
      <c r="B530" s="71"/>
      <c r="C530" s="71"/>
      <c r="D530" s="71"/>
      <c r="E530" s="72"/>
      <c r="F530" s="73"/>
      <c r="G530" s="74"/>
      <c r="H530" s="75" t="str">
        <f t="shared" si="66"/>
        <v/>
      </c>
      <c r="I530" s="16" t="str">
        <f t="shared" si="67"/>
        <v/>
      </c>
      <c r="J530" s="76" t="str">
        <f t="shared" si="68"/>
        <v/>
      </c>
      <c r="K530" s="77" t="str">
        <f t="shared" si="69"/>
        <v/>
      </c>
      <c r="L530" s="78" t="str">
        <f t="shared" si="70"/>
        <v/>
      </c>
      <c r="M530" s="4"/>
      <c r="N530" s="79">
        <f>IF(OR($A530="",$B530=""),0,IF(COUNTIFS($A$5:$A530,$A530,$B$5:$B530,$B530)=1,1,0))</f>
        <v>0</v>
      </c>
      <c r="O530" s="79" t="str">
        <f t="shared" si="71"/>
        <v/>
      </c>
      <c r="P530" s="79" t="str">
        <f t="shared" si="72"/>
        <v/>
      </c>
      <c r="AL530" s="89" t="str">
        <f t="shared" ca="1" si="73"/>
        <v/>
      </c>
    </row>
    <row r="531" spans="1:38" x14ac:dyDescent="0.3">
      <c r="A531" s="70"/>
      <c r="B531" s="71"/>
      <c r="C531" s="71"/>
      <c r="D531" s="71"/>
      <c r="E531" s="72"/>
      <c r="F531" s="73"/>
      <c r="G531" s="74"/>
      <c r="H531" s="75" t="str">
        <f t="shared" si="66"/>
        <v/>
      </c>
      <c r="I531" s="16" t="str">
        <f t="shared" si="67"/>
        <v/>
      </c>
      <c r="J531" s="76" t="str">
        <f t="shared" si="68"/>
        <v/>
      </c>
      <c r="K531" s="77" t="str">
        <f t="shared" si="69"/>
        <v/>
      </c>
      <c r="L531" s="78" t="str">
        <f t="shared" si="70"/>
        <v/>
      </c>
      <c r="M531" s="4"/>
      <c r="N531" s="79">
        <f>IF(OR($A531="",$B531=""),0,IF(COUNTIFS($A$5:$A531,$A531,$B$5:$B531,$B531)=1,1,0))</f>
        <v>0</v>
      </c>
      <c r="O531" s="79" t="str">
        <f t="shared" si="71"/>
        <v/>
      </c>
      <c r="P531" s="79" t="str">
        <f t="shared" si="72"/>
        <v/>
      </c>
      <c r="AL531" s="89" t="str">
        <f t="shared" ca="1" si="73"/>
        <v/>
      </c>
    </row>
    <row r="532" spans="1:38" x14ac:dyDescent="0.3">
      <c r="A532" s="70"/>
      <c r="B532" s="71"/>
      <c r="C532" s="71"/>
      <c r="D532" s="71"/>
      <c r="E532" s="72"/>
      <c r="F532" s="73"/>
      <c r="G532" s="74"/>
      <c r="H532" s="75" t="str">
        <f t="shared" si="66"/>
        <v/>
      </c>
      <c r="I532" s="16" t="str">
        <f t="shared" si="67"/>
        <v/>
      </c>
      <c r="J532" s="76" t="str">
        <f t="shared" si="68"/>
        <v/>
      </c>
      <c r="K532" s="77" t="str">
        <f t="shared" si="69"/>
        <v/>
      </c>
      <c r="L532" s="78" t="str">
        <f t="shared" si="70"/>
        <v/>
      </c>
      <c r="M532" s="4"/>
      <c r="N532" s="79">
        <f>IF(OR($A532="",$B532=""),0,IF(COUNTIFS($A$5:$A532,$A532,$B$5:$B532,$B532)=1,1,0))</f>
        <v>0</v>
      </c>
      <c r="O532" s="79" t="str">
        <f t="shared" si="71"/>
        <v/>
      </c>
      <c r="P532" s="79" t="str">
        <f t="shared" si="72"/>
        <v/>
      </c>
      <c r="AL532" s="89" t="str">
        <f t="shared" ca="1" si="73"/>
        <v/>
      </c>
    </row>
    <row r="533" spans="1:38" x14ac:dyDescent="0.3">
      <c r="A533" s="70"/>
      <c r="B533" s="71"/>
      <c r="C533" s="71"/>
      <c r="D533" s="71"/>
      <c r="E533" s="72"/>
      <c r="F533" s="73"/>
      <c r="G533" s="74"/>
      <c r="H533" s="75" t="str">
        <f t="shared" si="66"/>
        <v/>
      </c>
      <c r="I533" s="16" t="str">
        <f t="shared" si="67"/>
        <v/>
      </c>
      <c r="J533" s="76" t="str">
        <f t="shared" si="68"/>
        <v/>
      </c>
      <c r="K533" s="77" t="str">
        <f t="shared" si="69"/>
        <v/>
      </c>
      <c r="L533" s="78" t="str">
        <f t="shared" si="70"/>
        <v/>
      </c>
      <c r="M533" s="4"/>
      <c r="N533" s="79">
        <f>IF(OR($A533="",$B533=""),0,IF(COUNTIFS($A$5:$A533,$A533,$B$5:$B533,$B533)=1,1,0))</f>
        <v>0</v>
      </c>
      <c r="O533" s="79" t="str">
        <f t="shared" si="71"/>
        <v/>
      </c>
      <c r="P533" s="79" t="str">
        <f t="shared" si="72"/>
        <v/>
      </c>
      <c r="AL533" s="89" t="str">
        <f t="shared" ca="1" si="73"/>
        <v/>
      </c>
    </row>
    <row r="534" spans="1:38" x14ac:dyDescent="0.3">
      <c r="A534" s="70"/>
      <c r="B534" s="71"/>
      <c r="C534" s="71"/>
      <c r="D534" s="71"/>
      <c r="E534" s="72"/>
      <c r="F534" s="73"/>
      <c r="G534" s="74"/>
      <c r="H534" s="75" t="str">
        <f t="shared" si="66"/>
        <v/>
      </c>
      <c r="I534" s="16" t="str">
        <f t="shared" si="67"/>
        <v/>
      </c>
      <c r="J534" s="76" t="str">
        <f t="shared" si="68"/>
        <v/>
      </c>
      <c r="K534" s="77" t="str">
        <f t="shared" si="69"/>
        <v/>
      </c>
      <c r="L534" s="78" t="str">
        <f t="shared" si="70"/>
        <v/>
      </c>
      <c r="M534" s="4"/>
      <c r="N534" s="79">
        <f>IF(OR($A534="",$B534=""),0,IF(COUNTIFS($A$5:$A534,$A534,$B$5:$B534,$B534)=1,1,0))</f>
        <v>0</v>
      </c>
      <c r="O534" s="79" t="str">
        <f t="shared" si="71"/>
        <v/>
      </c>
      <c r="P534" s="79" t="str">
        <f t="shared" si="72"/>
        <v/>
      </c>
      <c r="AL534" s="89" t="str">
        <f t="shared" ca="1" si="73"/>
        <v/>
      </c>
    </row>
    <row r="535" spans="1:38" x14ac:dyDescent="0.3">
      <c r="A535" s="70"/>
      <c r="B535" s="71"/>
      <c r="C535" s="71"/>
      <c r="D535" s="71"/>
      <c r="E535" s="72"/>
      <c r="F535" s="73"/>
      <c r="G535" s="74"/>
      <c r="H535" s="75" t="str">
        <f t="shared" si="66"/>
        <v/>
      </c>
      <c r="I535" s="16" t="str">
        <f t="shared" si="67"/>
        <v/>
      </c>
      <c r="J535" s="76" t="str">
        <f t="shared" si="68"/>
        <v/>
      </c>
      <c r="K535" s="77" t="str">
        <f t="shared" si="69"/>
        <v/>
      </c>
      <c r="L535" s="78" t="str">
        <f t="shared" si="70"/>
        <v/>
      </c>
      <c r="M535" s="4"/>
      <c r="N535" s="79">
        <f>IF(OR($A535="",$B535=""),0,IF(COUNTIFS($A$5:$A535,$A535,$B$5:$B535,$B535)=1,1,0))</f>
        <v>0</v>
      </c>
      <c r="O535" s="79" t="str">
        <f t="shared" si="71"/>
        <v/>
      </c>
      <c r="P535" s="79" t="str">
        <f t="shared" si="72"/>
        <v/>
      </c>
      <c r="AL535" s="89" t="str">
        <f t="shared" ca="1" si="73"/>
        <v/>
      </c>
    </row>
    <row r="536" spans="1:38" x14ac:dyDescent="0.3">
      <c r="A536" s="70"/>
      <c r="B536" s="71"/>
      <c r="C536" s="71"/>
      <c r="D536" s="71"/>
      <c r="E536" s="72"/>
      <c r="F536" s="73"/>
      <c r="G536" s="74"/>
      <c r="H536" s="75" t="str">
        <f t="shared" si="66"/>
        <v/>
      </c>
      <c r="I536" s="16" t="str">
        <f t="shared" si="67"/>
        <v/>
      </c>
      <c r="J536" s="76" t="str">
        <f t="shared" si="68"/>
        <v/>
      </c>
      <c r="K536" s="77" t="str">
        <f t="shared" si="69"/>
        <v/>
      </c>
      <c r="L536" s="78" t="str">
        <f t="shared" si="70"/>
        <v/>
      </c>
      <c r="M536" s="4"/>
      <c r="N536" s="79">
        <f>IF(OR($A536="",$B536=""),0,IF(COUNTIFS($A$5:$A536,$A536,$B$5:$B536,$B536)=1,1,0))</f>
        <v>0</v>
      </c>
      <c r="O536" s="79" t="str">
        <f t="shared" si="71"/>
        <v/>
      </c>
      <c r="P536" s="79" t="str">
        <f t="shared" si="72"/>
        <v/>
      </c>
      <c r="AL536" s="89" t="str">
        <f t="shared" ca="1" si="73"/>
        <v/>
      </c>
    </row>
    <row r="537" spans="1:38" x14ac:dyDescent="0.3">
      <c r="A537" s="70"/>
      <c r="B537" s="71"/>
      <c r="C537" s="71"/>
      <c r="D537" s="71"/>
      <c r="E537" s="72"/>
      <c r="F537" s="73"/>
      <c r="G537" s="74"/>
      <c r="H537" s="75" t="str">
        <f t="shared" si="66"/>
        <v/>
      </c>
      <c r="I537" s="16" t="str">
        <f t="shared" si="67"/>
        <v/>
      </c>
      <c r="J537" s="76" t="str">
        <f t="shared" si="68"/>
        <v/>
      </c>
      <c r="K537" s="77" t="str">
        <f t="shared" si="69"/>
        <v/>
      </c>
      <c r="L537" s="78" t="str">
        <f t="shared" si="70"/>
        <v/>
      </c>
      <c r="M537" s="4"/>
      <c r="N537" s="79">
        <f>IF(OR($A537="",$B537=""),0,IF(COUNTIFS($A$5:$A537,$A537,$B$5:$B537,$B537)=1,1,0))</f>
        <v>0</v>
      </c>
      <c r="O537" s="79" t="str">
        <f t="shared" si="71"/>
        <v/>
      </c>
      <c r="P537" s="79" t="str">
        <f t="shared" si="72"/>
        <v/>
      </c>
      <c r="AL537" s="89" t="str">
        <f t="shared" ca="1" si="73"/>
        <v/>
      </c>
    </row>
    <row r="538" spans="1:38" x14ac:dyDescent="0.3">
      <c r="A538" s="70"/>
      <c r="B538" s="71"/>
      <c r="C538" s="71"/>
      <c r="D538" s="71"/>
      <c r="E538" s="72"/>
      <c r="F538" s="73"/>
      <c r="G538" s="74"/>
      <c r="H538" s="75" t="str">
        <f t="shared" si="66"/>
        <v/>
      </c>
      <c r="I538" s="16" t="str">
        <f t="shared" si="67"/>
        <v/>
      </c>
      <c r="J538" s="76" t="str">
        <f t="shared" si="68"/>
        <v/>
      </c>
      <c r="K538" s="77" t="str">
        <f t="shared" si="69"/>
        <v/>
      </c>
      <c r="L538" s="78" t="str">
        <f t="shared" si="70"/>
        <v/>
      </c>
      <c r="M538" s="4"/>
      <c r="N538" s="79">
        <f>IF(OR($A538="",$B538=""),0,IF(COUNTIFS($A$5:$A538,$A538,$B$5:$B538,$B538)=1,1,0))</f>
        <v>0</v>
      </c>
      <c r="O538" s="79" t="str">
        <f t="shared" si="71"/>
        <v/>
      </c>
      <c r="P538" s="79" t="str">
        <f t="shared" si="72"/>
        <v/>
      </c>
      <c r="AL538" s="89" t="str">
        <f t="shared" ca="1" si="73"/>
        <v/>
      </c>
    </row>
    <row r="539" spans="1:38" x14ac:dyDescent="0.3">
      <c r="A539" s="70"/>
      <c r="B539" s="71"/>
      <c r="C539" s="71"/>
      <c r="D539" s="71"/>
      <c r="E539" s="72"/>
      <c r="F539" s="73"/>
      <c r="G539" s="74"/>
      <c r="H539" s="75" t="str">
        <f t="shared" si="66"/>
        <v/>
      </c>
      <c r="I539" s="16" t="str">
        <f t="shared" si="67"/>
        <v/>
      </c>
      <c r="J539" s="76" t="str">
        <f t="shared" si="68"/>
        <v/>
      </c>
      <c r="K539" s="77" t="str">
        <f t="shared" si="69"/>
        <v/>
      </c>
      <c r="L539" s="78" t="str">
        <f t="shared" si="70"/>
        <v/>
      </c>
      <c r="M539" s="4"/>
      <c r="N539" s="79">
        <f>IF(OR($A539="",$B539=""),0,IF(COUNTIFS($A$5:$A539,$A539,$B$5:$B539,$B539)=1,1,0))</f>
        <v>0</v>
      </c>
      <c r="O539" s="79" t="str">
        <f t="shared" si="71"/>
        <v/>
      </c>
      <c r="P539" s="79" t="str">
        <f t="shared" si="72"/>
        <v/>
      </c>
      <c r="AL539" s="89" t="str">
        <f t="shared" ca="1" si="73"/>
        <v/>
      </c>
    </row>
    <row r="540" spans="1:38" x14ac:dyDescent="0.3">
      <c r="A540" s="70"/>
      <c r="B540" s="71"/>
      <c r="C540" s="71"/>
      <c r="D540" s="71"/>
      <c r="E540" s="72"/>
      <c r="F540" s="73"/>
      <c r="G540" s="74"/>
      <c r="H540" s="75" t="str">
        <f t="shared" si="66"/>
        <v/>
      </c>
      <c r="I540" s="16" t="str">
        <f t="shared" si="67"/>
        <v/>
      </c>
      <c r="J540" s="76" t="str">
        <f t="shared" si="68"/>
        <v/>
      </c>
      <c r="K540" s="77" t="str">
        <f t="shared" si="69"/>
        <v/>
      </c>
      <c r="L540" s="78" t="str">
        <f t="shared" si="70"/>
        <v/>
      </c>
      <c r="M540" s="4"/>
      <c r="N540" s="79">
        <f>IF(OR($A540="",$B540=""),0,IF(COUNTIFS($A$5:$A540,$A540,$B$5:$B540,$B540)=1,1,0))</f>
        <v>0</v>
      </c>
      <c r="O540" s="79" t="str">
        <f t="shared" si="71"/>
        <v/>
      </c>
      <c r="P540" s="79" t="str">
        <f t="shared" si="72"/>
        <v/>
      </c>
      <c r="AL540" s="89" t="str">
        <f t="shared" ca="1" si="73"/>
        <v/>
      </c>
    </row>
    <row r="541" spans="1:38" x14ac:dyDescent="0.3">
      <c r="A541" s="70"/>
      <c r="B541" s="71"/>
      <c r="C541" s="71"/>
      <c r="D541" s="71"/>
      <c r="E541" s="72"/>
      <c r="F541" s="73"/>
      <c r="G541" s="74"/>
      <c r="H541" s="75" t="str">
        <f t="shared" si="66"/>
        <v/>
      </c>
      <c r="I541" s="16" t="str">
        <f t="shared" si="67"/>
        <v/>
      </c>
      <c r="J541" s="76" t="str">
        <f t="shared" si="68"/>
        <v/>
      </c>
      <c r="K541" s="77" t="str">
        <f t="shared" si="69"/>
        <v/>
      </c>
      <c r="L541" s="78" t="str">
        <f t="shared" si="70"/>
        <v/>
      </c>
      <c r="M541" s="4"/>
      <c r="N541" s="79">
        <f>IF(OR($A541="",$B541=""),0,IF(COUNTIFS($A$5:$A541,$A541,$B$5:$B541,$B541)=1,1,0))</f>
        <v>0</v>
      </c>
      <c r="O541" s="79" t="str">
        <f t="shared" si="71"/>
        <v/>
      </c>
      <c r="P541" s="79" t="str">
        <f t="shared" si="72"/>
        <v/>
      </c>
      <c r="AL541" s="89" t="str">
        <f t="shared" ca="1" si="73"/>
        <v/>
      </c>
    </row>
    <row r="542" spans="1:38" x14ac:dyDescent="0.3">
      <c r="A542" s="70"/>
      <c r="B542" s="71"/>
      <c r="C542" s="71"/>
      <c r="D542" s="71"/>
      <c r="E542" s="72"/>
      <c r="F542" s="73"/>
      <c r="G542" s="74"/>
      <c r="H542" s="75" t="str">
        <f t="shared" si="66"/>
        <v/>
      </c>
      <c r="I542" s="16" t="str">
        <f t="shared" si="67"/>
        <v/>
      </c>
      <c r="J542" s="76" t="str">
        <f t="shared" si="68"/>
        <v/>
      </c>
      <c r="K542" s="77" t="str">
        <f t="shared" si="69"/>
        <v/>
      </c>
      <c r="L542" s="78" t="str">
        <f t="shared" si="70"/>
        <v/>
      </c>
      <c r="M542" s="4"/>
      <c r="N542" s="79">
        <f>IF(OR($A542="",$B542=""),0,IF(COUNTIFS($A$5:$A542,$A542,$B$5:$B542,$B542)=1,1,0))</f>
        <v>0</v>
      </c>
      <c r="O542" s="79" t="str">
        <f t="shared" si="71"/>
        <v/>
      </c>
      <c r="P542" s="79" t="str">
        <f t="shared" si="72"/>
        <v/>
      </c>
      <c r="AL542" s="89" t="str">
        <f t="shared" ca="1" si="73"/>
        <v/>
      </c>
    </row>
    <row r="543" spans="1:38" x14ac:dyDescent="0.3">
      <c r="A543" s="70"/>
      <c r="B543" s="71"/>
      <c r="C543" s="71"/>
      <c r="D543" s="71"/>
      <c r="E543" s="72"/>
      <c r="F543" s="73"/>
      <c r="G543" s="74"/>
      <c r="H543" s="75" t="str">
        <f t="shared" si="66"/>
        <v/>
      </c>
      <c r="I543" s="16" t="str">
        <f t="shared" si="67"/>
        <v/>
      </c>
      <c r="J543" s="76" t="str">
        <f t="shared" si="68"/>
        <v/>
      </c>
      <c r="K543" s="77" t="str">
        <f t="shared" si="69"/>
        <v/>
      </c>
      <c r="L543" s="78" t="str">
        <f t="shared" si="70"/>
        <v/>
      </c>
      <c r="M543" s="4"/>
      <c r="N543" s="79">
        <f>IF(OR($A543="",$B543=""),0,IF(COUNTIFS($A$5:$A543,$A543,$B$5:$B543,$B543)=1,1,0))</f>
        <v>0</v>
      </c>
      <c r="O543" s="79" t="str">
        <f t="shared" si="71"/>
        <v/>
      </c>
      <c r="P543" s="79" t="str">
        <f t="shared" si="72"/>
        <v/>
      </c>
      <c r="AL543" s="89" t="str">
        <f t="shared" ca="1" si="73"/>
        <v/>
      </c>
    </row>
    <row r="544" spans="1:38" x14ac:dyDescent="0.3">
      <c r="A544" s="70"/>
      <c r="B544" s="71"/>
      <c r="C544" s="71"/>
      <c r="D544" s="71"/>
      <c r="E544" s="72"/>
      <c r="F544" s="73"/>
      <c r="G544" s="74"/>
      <c r="H544" s="75" t="str">
        <f t="shared" si="66"/>
        <v/>
      </c>
      <c r="I544" s="16" t="str">
        <f t="shared" si="67"/>
        <v/>
      </c>
      <c r="J544" s="76" t="str">
        <f t="shared" si="68"/>
        <v/>
      </c>
      <c r="K544" s="77" t="str">
        <f t="shared" si="69"/>
        <v/>
      </c>
      <c r="L544" s="78" t="str">
        <f t="shared" si="70"/>
        <v/>
      </c>
      <c r="M544" s="4"/>
      <c r="N544" s="79">
        <f>IF(OR($A544="",$B544=""),0,IF(COUNTIFS($A$5:$A544,$A544,$B$5:$B544,$B544)=1,1,0))</f>
        <v>0</v>
      </c>
      <c r="O544" s="79" t="str">
        <f t="shared" si="71"/>
        <v/>
      </c>
      <c r="P544" s="79" t="str">
        <f t="shared" si="72"/>
        <v/>
      </c>
      <c r="AL544" s="89" t="str">
        <f t="shared" ca="1" si="73"/>
        <v/>
      </c>
    </row>
    <row r="545" spans="1:38" x14ac:dyDescent="0.3">
      <c r="A545" s="70"/>
      <c r="B545" s="71"/>
      <c r="C545" s="71"/>
      <c r="D545" s="71"/>
      <c r="E545" s="72"/>
      <c r="F545" s="73"/>
      <c r="G545" s="74"/>
      <c r="H545" s="75" t="str">
        <f t="shared" si="66"/>
        <v/>
      </c>
      <c r="I545" s="16" t="str">
        <f t="shared" si="67"/>
        <v/>
      </c>
      <c r="J545" s="76" t="str">
        <f t="shared" si="68"/>
        <v/>
      </c>
      <c r="K545" s="77" t="str">
        <f t="shared" si="69"/>
        <v/>
      </c>
      <c r="L545" s="78" t="str">
        <f t="shared" si="70"/>
        <v/>
      </c>
      <c r="M545" s="4"/>
      <c r="N545" s="79">
        <f>IF(OR($A545="",$B545=""),0,IF(COUNTIFS($A$5:$A545,$A545,$B$5:$B545,$B545)=1,1,0))</f>
        <v>0</v>
      </c>
      <c r="O545" s="79" t="str">
        <f t="shared" si="71"/>
        <v/>
      </c>
      <c r="P545" s="79" t="str">
        <f t="shared" si="72"/>
        <v/>
      </c>
      <c r="AL545" s="89" t="str">
        <f t="shared" ca="1" si="73"/>
        <v/>
      </c>
    </row>
    <row r="546" spans="1:38" x14ac:dyDescent="0.3">
      <c r="A546" s="70"/>
      <c r="B546" s="71"/>
      <c r="C546" s="71"/>
      <c r="D546" s="71"/>
      <c r="E546" s="72"/>
      <c r="F546" s="73"/>
      <c r="G546" s="74"/>
      <c r="H546" s="75" t="str">
        <f t="shared" si="66"/>
        <v/>
      </c>
      <c r="I546" s="16" t="str">
        <f t="shared" si="67"/>
        <v/>
      </c>
      <c r="J546" s="76" t="str">
        <f t="shared" si="68"/>
        <v/>
      </c>
      <c r="K546" s="77" t="str">
        <f t="shared" si="69"/>
        <v/>
      </c>
      <c r="L546" s="78" t="str">
        <f t="shared" si="70"/>
        <v/>
      </c>
      <c r="M546" s="4"/>
      <c r="N546" s="79">
        <f>IF(OR($A546="",$B546=""),0,IF(COUNTIFS($A$5:$A546,$A546,$B$5:$B546,$B546)=1,1,0))</f>
        <v>0</v>
      </c>
      <c r="O546" s="79" t="str">
        <f t="shared" si="71"/>
        <v/>
      </c>
      <c r="P546" s="79" t="str">
        <f t="shared" si="72"/>
        <v/>
      </c>
      <c r="AL546" s="89" t="str">
        <f t="shared" ca="1" si="73"/>
        <v/>
      </c>
    </row>
    <row r="547" spans="1:38" x14ac:dyDescent="0.3">
      <c r="A547" s="70"/>
      <c r="B547" s="71"/>
      <c r="C547" s="71"/>
      <c r="D547" s="71"/>
      <c r="E547" s="72"/>
      <c r="F547" s="73"/>
      <c r="G547" s="74"/>
      <c r="H547" s="75" t="str">
        <f t="shared" si="66"/>
        <v/>
      </c>
      <c r="I547" s="16" t="str">
        <f t="shared" si="67"/>
        <v/>
      </c>
      <c r="J547" s="76" t="str">
        <f t="shared" si="68"/>
        <v/>
      </c>
      <c r="K547" s="77" t="str">
        <f t="shared" si="69"/>
        <v/>
      </c>
      <c r="L547" s="78" t="str">
        <f t="shared" si="70"/>
        <v/>
      </c>
      <c r="M547" s="4"/>
      <c r="N547" s="79">
        <f>IF(OR($A547="",$B547=""),0,IF(COUNTIFS($A$5:$A547,$A547,$B$5:$B547,$B547)=1,1,0))</f>
        <v>0</v>
      </c>
      <c r="O547" s="79" t="str">
        <f t="shared" si="71"/>
        <v/>
      </c>
      <c r="P547" s="79" t="str">
        <f t="shared" si="72"/>
        <v/>
      </c>
      <c r="AL547" s="89" t="str">
        <f t="shared" ca="1" si="73"/>
        <v/>
      </c>
    </row>
    <row r="548" spans="1:38" x14ac:dyDescent="0.3">
      <c r="A548" s="70"/>
      <c r="B548" s="71"/>
      <c r="C548" s="71"/>
      <c r="D548" s="71"/>
      <c r="E548" s="72"/>
      <c r="F548" s="73"/>
      <c r="G548" s="74"/>
      <c r="H548" s="75" t="str">
        <f t="shared" si="66"/>
        <v/>
      </c>
      <c r="I548" s="16" t="str">
        <f t="shared" si="67"/>
        <v/>
      </c>
      <c r="J548" s="76" t="str">
        <f t="shared" si="68"/>
        <v/>
      </c>
      <c r="K548" s="77" t="str">
        <f t="shared" si="69"/>
        <v/>
      </c>
      <c r="L548" s="78" t="str">
        <f t="shared" si="70"/>
        <v/>
      </c>
      <c r="M548" s="4"/>
      <c r="N548" s="79">
        <f>IF(OR($A548="",$B548=""),0,IF(COUNTIFS($A$5:$A548,$A548,$B$5:$B548,$B548)=1,1,0))</f>
        <v>0</v>
      </c>
      <c r="O548" s="79" t="str">
        <f t="shared" si="71"/>
        <v/>
      </c>
      <c r="P548" s="79" t="str">
        <f t="shared" si="72"/>
        <v/>
      </c>
      <c r="AL548" s="89" t="str">
        <f t="shared" ca="1" si="73"/>
        <v/>
      </c>
    </row>
    <row r="549" spans="1:38" x14ac:dyDescent="0.3">
      <c r="A549" s="70"/>
      <c r="B549" s="71"/>
      <c r="C549" s="71"/>
      <c r="D549" s="71"/>
      <c r="E549" s="72"/>
      <c r="F549" s="73"/>
      <c r="G549" s="74"/>
      <c r="H549" s="75" t="str">
        <f t="shared" si="66"/>
        <v/>
      </c>
      <c r="I549" s="16" t="str">
        <f t="shared" si="67"/>
        <v/>
      </c>
      <c r="J549" s="76" t="str">
        <f t="shared" si="68"/>
        <v/>
      </c>
      <c r="K549" s="77" t="str">
        <f t="shared" si="69"/>
        <v/>
      </c>
      <c r="L549" s="78" t="str">
        <f t="shared" si="70"/>
        <v/>
      </c>
      <c r="M549" s="4"/>
      <c r="N549" s="79">
        <f>IF(OR($A549="",$B549=""),0,IF(COUNTIFS($A$5:$A549,$A549,$B$5:$B549,$B549)=1,1,0))</f>
        <v>0</v>
      </c>
      <c r="O549" s="79" t="str">
        <f t="shared" si="71"/>
        <v/>
      </c>
      <c r="P549" s="79" t="str">
        <f t="shared" si="72"/>
        <v/>
      </c>
      <c r="AL549" s="89" t="str">
        <f t="shared" ca="1" si="73"/>
        <v/>
      </c>
    </row>
    <row r="550" spans="1:38" x14ac:dyDescent="0.3">
      <c r="A550" s="70"/>
      <c r="B550" s="71"/>
      <c r="C550" s="71"/>
      <c r="D550" s="71"/>
      <c r="E550" s="72"/>
      <c r="F550" s="73"/>
      <c r="G550" s="74"/>
      <c r="H550" s="75" t="str">
        <f t="shared" si="66"/>
        <v/>
      </c>
      <c r="I550" s="16" t="str">
        <f t="shared" si="67"/>
        <v/>
      </c>
      <c r="J550" s="76" t="str">
        <f t="shared" si="68"/>
        <v/>
      </c>
      <c r="K550" s="77" t="str">
        <f t="shared" si="69"/>
        <v/>
      </c>
      <c r="L550" s="78" t="str">
        <f t="shared" si="70"/>
        <v/>
      </c>
      <c r="M550" s="4"/>
      <c r="N550" s="79">
        <f>IF(OR($A550="",$B550=""),0,IF(COUNTIFS($A$5:$A550,$A550,$B$5:$B550,$B550)=1,1,0))</f>
        <v>0</v>
      </c>
      <c r="O550" s="79" t="str">
        <f t="shared" si="71"/>
        <v/>
      </c>
      <c r="P550" s="79" t="str">
        <f t="shared" si="72"/>
        <v/>
      </c>
      <c r="AL550" s="89" t="str">
        <f t="shared" ca="1" si="73"/>
        <v/>
      </c>
    </row>
    <row r="551" spans="1:38" x14ac:dyDescent="0.3">
      <c r="A551" s="70"/>
      <c r="B551" s="71"/>
      <c r="C551" s="71"/>
      <c r="D551" s="71"/>
      <c r="E551" s="72"/>
      <c r="F551" s="73"/>
      <c r="G551" s="74"/>
      <c r="H551" s="75" t="str">
        <f t="shared" si="66"/>
        <v/>
      </c>
      <c r="I551" s="16" t="str">
        <f t="shared" si="67"/>
        <v/>
      </c>
      <c r="J551" s="76" t="str">
        <f t="shared" si="68"/>
        <v/>
      </c>
      <c r="K551" s="77" t="str">
        <f t="shared" si="69"/>
        <v/>
      </c>
      <c r="L551" s="78" t="str">
        <f t="shared" si="70"/>
        <v/>
      </c>
      <c r="M551" s="4"/>
      <c r="N551" s="79">
        <f>IF(OR($A551="",$B551=""),0,IF(COUNTIFS($A$5:$A551,$A551,$B$5:$B551,$B551)=1,1,0))</f>
        <v>0</v>
      </c>
      <c r="O551" s="79" t="str">
        <f t="shared" si="71"/>
        <v/>
      </c>
      <c r="P551" s="79" t="str">
        <f t="shared" si="72"/>
        <v/>
      </c>
      <c r="AL551" s="89" t="str">
        <f t="shared" ca="1" si="73"/>
        <v/>
      </c>
    </row>
    <row r="552" spans="1:38" x14ac:dyDescent="0.3">
      <c r="A552" s="70"/>
      <c r="B552" s="71"/>
      <c r="C552" s="71"/>
      <c r="D552" s="71"/>
      <c r="E552" s="72"/>
      <c r="F552" s="73"/>
      <c r="G552" s="74"/>
      <c r="H552" s="75" t="str">
        <f t="shared" si="66"/>
        <v/>
      </c>
      <c r="I552" s="16" t="str">
        <f t="shared" si="67"/>
        <v/>
      </c>
      <c r="J552" s="76" t="str">
        <f t="shared" si="68"/>
        <v/>
      </c>
      <c r="K552" s="77" t="str">
        <f t="shared" si="69"/>
        <v/>
      </c>
      <c r="L552" s="78" t="str">
        <f t="shared" si="70"/>
        <v/>
      </c>
      <c r="M552" s="4"/>
      <c r="N552" s="79">
        <f>IF(OR($A552="",$B552=""),0,IF(COUNTIFS($A$5:$A552,$A552,$B$5:$B552,$B552)=1,1,0))</f>
        <v>0</v>
      </c>
      <c r="O552" s="79" t="str">
        <f t="shared" si="71"/>
        <v/>
      </c>
      <c r="P552" s="79" t="str">
        <f t="shared" si="72"/>
        <v/>
      </c>
      <c r="AL552" s="89" t="str">
        <f t="shared" ca="1" si="73"/>
        <v/>
      </c>
    </row>
    <row r="553" spans="1:38" x14ac:dyDescent="0.3">
      <c r="A553" s="70"/>
      <c r="B553" s="71"/>
      <c r="C553" s="71"/>
      <c r="D553" s="71"/>
      <c r="E553" s="72"/>
      <c r="F553" s="73"/>
      <c r="G553" s="74"/>
      <c r="H553" s="75" t="str">
        <f t="shared" si="66"/>
        <v/>
      </c>
      <c r="I553" s="16" t="str">
        <f t="shared" si="67"/>
        <v/>
      </c>
      <c r="J553" s="76" t="str">
        <f t="shared" si="68"/>
        <v/>
      </c>
      <c r="K553" s="77" t="str">
        <f t="shared" si="69"/>
        <v/>
      </c>
      <c r="L553" s="78" t="str">
        <f t="shared" si="70"/>
        <v/>
      </c>
      <c r="M553" s="4"/>
      <c r="N553" s="79">
        <f>IF(OR($A553="",$B553=""),0,IF(COUNTIFS($A$5:$A553,$A553,$B$5:$B553,$B553)=1,1,0))</f>
        <v>0</v>
      </c>
      <c r="O553" s="79" t="str">
        <f t="shared" si="71"/>
        <v/>
      </c>
      <c r="P553" s="79" t="str">
        <f t="shared" si="72"/>
        <v/>
      </c>
      <c r="AL553" s="89" t="str">
        <f t="shared" ca="1" si="73"/>
        <v/>
      </c>
    </row>
    <row r="554" spans="1:38" x14ac:dyDescent="0.3">
      <c r="A554" s="70"/>
      <c r="B554" s="71"/>
      <c r="C554" s="71"/>
      <c r="D554" s="71"/>
      <c r="E554" s="72"/>
      <c r="F554" s="73"/>
      <c r="G554" s="74"/>
      <c r="H554" s="75" t="str">
        <f t="shared" si="66"/>
        <v/>
      </c>
      <c r="I554" s="16" t="str">
        <f t="shared" si="67"/>
        <v/>
      </c>
      <c r="J554" s="76" t="str">
        <f t="shared" si="68"/>
        <v/>
      </c>
      <c r="K554" s="77" t="str">
        <f t="shared" si="69"/>
        <v/>
      </c>
      <c r="L554" s="78" t="str">
        <f t="shared" si="70"/>
        <v/>
      </c>
      <c r="M554" s="4"/>
      <c r="N554" s="79">
        <f>IF(OR($A554="",$B554=""),0,IF(COUNTIFS($A$5:$A554,$A554,$B$5:$B554,$B554)=1,1,0))</f>
        <v>0</v>
      </c>
      <c r="O554" s="79" t="str">
        <f t="shared" si="71"/>
        <v/>
      </c>
      <c r="P554" s="79" t="str">
        <f t="shared" si="72"/>
        <v/>
      </c>
      <c r="AL554" s="89" t="str">
        <f t="shared" ca="1" si="73"/>
        <v/>
      </c>
    </row>
    <row r="555" spans="1:38" x14ac:dyDescent="0.3">
      <c r="A555" s="70"/>
      <c r="B555" s="71"/>
      <c r="C555" s="71"/>
      <c r="D555" s="71"/>
      <c r="E555" s="72"/>
      <c r="F555" s="73"/>
      <c r="G555" s="74"/>
      <c r="H555" s="75" t="str">
        <f t="shared" si="66"/>
        <v/>
      </c>
      <c r="I555" s="16" t="str">
        <f t="shared" si="67"/>
        <v/>
      </c>
      <c r="J555" s="76" t="str">
        <f t="shared" si="68"/>
        <v/>
      </c>
      <c r="K555" s="77" t="str">
        <f t="shared" si="69"/>
        <v/>
      </c>
      <c r="L555" s="78" t="str">
        <f t="shared" si="70"/>
        <v/>
      </c>
      <c r="M555" s="4"/>
      <c r="N555" s="79">
        <f>IF(OR($A555="",$B555=""),0,IF(COUNTIFS($A$5:$A555,$A555,$B$5:$B555,$B555)=1,1,0))</f>
        <v>0</v>
      </c>
      <c r="O555" s="79" t="str">
        <f t="shared" si="71"/>
        <v/>
      </c>
      <c r="P555" s="79" t="str">
        <f t="shared" si="72"/>
        <v/>
      </c>
      <c r="AL555" s="89" t="str">
        <f t="shared" ca="1" si="73"/>
        <v/>
      </c>
    </row>
    <row r="556" spans="1:38" x14ac:dyDescent="0.3">
      <c r="A556" s="70"/>
      <c r="B556" s="71"/>
      <c r="C556" s="71"/>
      <c r="D556" s="71"/>
      <c r="E556" s="72"/>
      <c r="F556" s="73"/>
      <c r="G556" s="74"/>
      <c r="H556" s="75" t="str">
        <f t="shared" si="66"/>
        <v/>
      </c>
      <c r="I556" s="16" t="str">
        <f t="shared" si="67"/>
        <v/>
      </c>
      <c r="J556" s="76" t="str">
        <f t="shared" si="68"/>
        <v/>
      </c>
      <c r="K556" s="77" t="str">
        <f t="shared" si="69"/>
        <v/>
      </c>
      <c r="L556" s="78" t="str">
        <f t="shared" si="70"/>
        <v/>
      </c>
      <c r="M556" s="4"/>
      <c r="N556" s="79">
        <f>IF(OR($A556="",$B556=""),0,IF(COUNTIFS($A$5:$A556,$A556,$B$5:$B556,$B556)=1,1,0))</f>
        <v>0</v>
      </c>
      <c r="O556" s="79" t="str">
        <f t="shared" si="71"/>
        <v/>
      </c>
      <c r="P556" s="79" t="str">
        <f t="shared" si="72"/>
        <v/>
      </c>
      <c r="AL556" s="89" t="str">
        <f t="shared" ca="1" si="73"/>
        <v/>
      </c>
    </row>
    <row r="557" spans="1:38" x14ac:dyDescent="0.3">
      <c r="A557" s="70"/>
      <c r="B557" s="71"/>
      <c r="C557" s="71"/>
      <c r="D557" s="71"/>
      <c r="E557" s="72"/>
      <c r="F557" s="73"/>
      <c r="G557" s="74"/>
      <c r="H557" s="75" t="str">
        <f t="shared" si="66"/>
        <v/>
      </c>
      <c r="I557" s="16" t="str">
        <f t="shared" si="67"/>
        <v/>
      </c>
      <c r="J557" s="76" t="str">
        <f t="shared" si="68"/>
        <v/>
      </c>
      <c r="K557" s="77" t="str">
        <f t="shared" si="69"/>
        <v/>
      </c>
      <c r="L557" s="78" t="str">
        <f t="shared" si="70"/>
        <v/>
      </c>
      <c r="M557" s="4"/>
      <c r="N557" s="79">
        <f>IF(OR($A557="",$B557=""),0,IF(COUNTIFS($A$5:$A557,$A557,$B$5:$B557,$B557)=1,1,0))</f>
        <v>0</v>
      </c>
      <c r="O557" s="79" t="str">
        <f t="shared" si="71"/>
        <v/>
      </c>
      <c r="P557" s="79" t="str">
        <f t="shared" si="72"/>
        <v/>
      </c>
      <c r="AL557" s="89" t="str">
        <f t="shared" ca="1" si="73"/>
        <v/>
      </c>
    </row>
    <row r="558" spans="1:38" x14ac:dyDescent="0.3">
      <c r="A558" s="70"/>
      <c r="B558" s="71"/>
      <c r="C558" s="71"/>
      <c r="D558" s="71"/>
      <c r="E558" s="72"/>
      <c r="F558" s="73"/>
      <c r="G558" s="74"/>
      <c r="H558" s="75" t="str">
        <f t="shared" si="66"/>
        <v/>
      </c>
      <c r="I558" s="16" t="str">
        <f t="shared" si="67"/>
        <v/>
      </c>
      <c r="J558" s="76" t="str">
        <f t="shared" si="68"/>
        <v/>
      </c>
      <c r="K558" s="77" t="str">
        <f t="shared" si="69"/>
        <v/>
      </c>
      <c r="L558" s="78" t="str">
        <f t="shared" si="70"/>
        <v/>
      </c>
      <c r="M558" s="4"/>
      <c r="N558" s="79">
        <f>IF(OR($A558="",$B558=""),0,IF(COUNTIFS($A$5:$A558,$A558,$B$5:$B558,$B558)=1,1,0))</f>
        <v>0</v>
      </c>
      <c r="O558" s="79" t="str">
        <f t="shared" si="71"/>
        <v/>
      </c>
      <c r="P558" s="79" t="str">
        <f t="shared" si="72"/>
        <v/>
      </c>
      <c r="AL558" s="89" t="str">
        <f t="shared" ca="1" si="73"/>
        <v/>
      </c>
    </row>
    <row r="559" spans="1:38" x14ac:dyDescent="0.3">
      <c r="A559" s="70"/>
      <c r="B559" s="71"/>
      <c r="C559" s="71"/>
      <c r="D559" s="71"/>
      <c r="E559" s="72"/>
      <c r="F559" s="73"/>
      <c r="G559" s="74"/>
      <c r="H559" s="75" t="str">
        <f t="shared" si="66"/>
        <v/>
      </c>
      <c r="I559" s="16" t="str">
        <f t="shared" si="67"/>
        <v/>
      </c>
      <c r="J559" s="76" t="str">
        <f t="shared" si="68"/>
        <v/>
      </c>
      <c r="K559" s="77" t="str">
        <f t="shared" si="69"/>
        <v/>
      </c>
      <c r="L559" s="78" t="str">
        <f t="shared" si="70"/>
        <v/>
      </c>
      <c r="M559" s="4"/>
      <c r="N559" s="79">
        <f>IF(OR($A559="",$B559=""),0,IF(COUNTIFS($A$5:$A559,$A559,$B$5:$B559,$B559)=1,1,0))</f>
        <v>0</v>
      </c>
      <c r="O559" s="79" t="str">
        <f t="shared" si="71"/>
        <v/>
      </c>
      <c r="P559" s="79" t="str">
        <f t="shared" si="72"/>
        <v/>
      </c>
      <c r="AL559" s="89" t="str">
        <f t="shared" ca="1" si="73"/>
        <v/>
      </c>
    </row>
    <row r="560" spans="1:38" x14ac:dyDescent="0.3">
      <c r="A560" s="70"/>
      <c r="B560" s="71"/>
      <c r="C560" s="71"/>
      <c r="D560" s="71"/>
      <c r="E560" s="72"/>
      <c r="F560" s="73"/>
      <c r="G560" s="74"/>
      <c r="H560" s="75" t="str">
        <f t="shared" si="66"/>
        <v/>
      </c>
      <c r="I560" s="16" t="str">
        <f t="shared" si="67"/>
        <v/>
      </c>
      <c r="J560" s="76" t="str">
        <f t="shared" si="68"/>
        <v/>
      </c>
      <c r="K560" s="77" t="str">
        <f t="shared" si="69"/>
        <v/>
      </c>
      <c r="L560" s="78" t="str">
        <f t="shared" si="70"/>
        <v/>
      </c>
      <c r="M560" s="4"/>
      <c r="N560" s="79">
        <f>IF(OR($A560="",$B560=""),0,IF(COUNTIFS($A$5:$A560,$A560,$B$5:$B560,$B560)=1,1,0))</f>
        <v>0</v>
      </c>
      <c r="O560" s="79" t="str">
        <f t="shared" si="71"/>
        <v/>
      </c>
      <c r="P560" s="79" t="str">
        <f t="shared" si="72"/>
        <v/>
      </c>
      <c r="AL560" s="89" t="str">
        <f t="shared" ca="1" si="73"/>
        <v/>
      </c>
    </row>
    <row r="561" spans="1:38" x14ac:dyDescent="0.3">
      <c r="A561" s="70"/>
      <c r="B561" s="71"/>
      <c r="C561" s="71"/>
      <c r="D561" s="71"/>
      <c r="E561" s="72"/>
      <c r="F561" s="73"/>
      <c r="G561" s="74"/>
      <c r="H561" s="75" t="str">
        <f t="shared" si="66"/>
        <v/>
      </c>
      <c r="I561" s="16" t="str">
        <f t="shared" si="67"/>
        <v/>
      </c>
      <c r="J561" s="76" t="str">
        <f t="shared" si="68"/>
        <v/>
      </c>
      <c r="K561" s="77" t="str">
        <f t="shared" si="69"/>
        <v/>
      </c>
      <c r="L561" s="78" t="str">
        <f t="shared" si="70"/>
        <v/>
      </c>
      <c r="M561" s="4"/>
      <c r="N561" s="79">
        <f>IF(OR($A561="",$B561=""),0,IF(COUNTIFS($A$5:$A561,$A561,$B$5:$B561,$B561)=1,1,0))</f>
        <v>0</v>
      </c>
      <c r="O561" s="79" t="str">
        <f t="shared" si="71"/>
        <v/>
      </c>
      <c r="P561" s="79" t="str">
        <f t="shared" si="72"/>
        <v/>
      </c>
      <c r="AL561" s="89" t="str">
        <f t="shared" ca="1" si="73"/>
        <v/>
      </c>
    </row>
    <row r="562" spans="1:38" x14ac:dyDescent="0.3">
      <c r="A562" s="70"/>
      <c r="B562" s="71"/>
      <c r="C562" s="71"/>
      <c r="D562" s="71"/>
      <c r="E562" s="72"/>
      <c r="F562" s="73"/>
      <c r="G562" s="74"/>
      <c r="H562" s="75" t="str">
        <f t="shared" si="66"/>
        <v/>
      </c>
      <c r="I562" s="16" t="str">
        <f t="shared" si="67"/>
        <v/>
      </c>
      <c r="J562" s="76" t="str">
        <f t="shared" si="68"/>
        <v/>
      </c>
      <c r="K562" s="77" t="str">
        <f t="shared" si="69"/>
        <v/>
      </c>
      <c r="L562" s="78" t="str">
        <f t="shared" si="70"/>
        <v/>
      </c>
      <c r="M562" s="4"/>
      <c r="N562" s="79">
        <f>IF(OR($A562="",$B562=""),0,IF(COUNTIFS($A$5:$A562,$A562,$B$5:$B562,$B562)=1,1,0))</f>
        <v>0</v>
      </c>
      <c r="O562" s="79" t="str">
        <f t="shared" si="71"/>
        <v/>
      </c>
      <c r="P562" s="79" t="str">
        <f t="shared" si="72"/>
        <v/>
      </c>
      <c r="AL562" s="89" t="str">
        <f t="shared" ca="1" si="73"/>
        <v/>
      </c>
    </row>
    <row r="563" spans="1:38" x14ac:dyDescent="0.3">
      <c r="A563" s="70"/>
      <c r="B563" s="71"/>
      <c r="C563" s="71"/>
      <c r="D563" s="71"/>
      <c r="E563" s="72"/>
      <c r="F563" s="73"/>
      <c r="G563" s="74"/>
      <c r="H563" s="75" t="str">
        <f t="shared" si="66"/>
        <v/>
      </c>
      <c r="I563" s="16" t="str">
        <f t="shared" si="67"/>
        <v/>
      </c>
      <c r="J563" s="76" t="str">
        <f t="shared" si="68"/>
        <v/>
      </c>
      <c r="K563" s="77" t="str">
        <f t="shared" si="69"/>
        <v/>
      </c>
      <c r="L563" s="78" t="str">
        <f t="shared" si="70"/>
        <v/>
      </c>
      <c r="M563" s="4"/>
      <c r="N563" s="79">
        <f>IF(OR($A563="",$B563=""),0,IF(COUNTIFS($A$5:$A563,$A563,$B$5:$B563,$B563)=1,1,0))</f>
        <v>0</v>
      </c>
      <c r="O563" s="79" t="str">
        <f t="shared" si="71"/>
        <v/>
      </c>
      <c r="P563" s="79" t="str">
        <f t="shared" si="72"/>
        <v/>
      </c>
      <c r="AL563" s="89" t="str">
        <f t="shared" ca="1" si="73"/>
        <v/>
      </c>
    </row>
    <row r="564" spans="1:38" x14ac:dyDescent="0.3">
      <c r="A564" s="70"/>
      <c r="B564" s="71"/>
      <c r="C564" s="71"/>
      <c r="D564" s="71"/>
      <c r="E564" s="72"/>
      <c r="F564" s="73"/>
      <c r="G564" s="74"/>
      <c r="H564" s="75" t="str">
        <f t="shared" si="66"/>
        <v/>
      </c>
      <c r="I564" s="16" t="str">
        <f t="shared" si="67"/>
        <v/>
      </c>
      <c r="J564" s="76" t="str">
        <f t="shared" si="68"/>
        <v/>
      </c>
      <c r="K564" s="77" t="str">
        <f t="shared" si="69"/>
        <v/>
      </c>
      <c r="L564" s="78" t="str">
        <f t="shared" si="70"/>
        <v/>
      </c>
      <c r="M564" s="4"/>
      <c r="N564" s="79">
        <f>IF(OR($A564="",$B564=""),0,IF(COUNTIFS($A$5:$A564,$A564,$B$5:$B564,$B564)=1,1,0))</f>
        <v>0</v>
      </c>
      <c r="O564" s="79" t="str">
        <f t="shared" si="71"/>
        <v/>
      </c>
      <c r="P564" s="79" t="str">
        <f t="shared" si="72"/>
        <v/>
      </c>
      <c r="AL564" s="89" t="str">
        <f t="shared" ca="1" si="73"/>
        <v/>
      </c>
    </row>
    <row r="565" spans="1:38" x14ac:dyDescent="0.3">
      <c r="A565" s="70"/>
      <c r="B565" s="71"/>
      <c r="C565" s="71"/>
      <c r="D565" s="71"/>
      <c r="E565" s="72"/>
      <c r="F565" s="73"/>
      <c r="G565" s="74"/>
      <c r="H565" s="75" t="str">
        <f t="shared" si="66"/>
        <v/>
      </c>
      <c r="I565" s="16" t="str">
        <f t="shared" si="67"/>
        <v/>
      </c>
      <c r="J565" s="76" t="str">
        <f t="shared" si="68"/>
        <v/>
      </c>
      <c r="K565" s="77" t="str">
        <f t="shared" si="69"/>
        <v/>
      </c>
      <c r="L565" s="78" t="str">
        <f t="shared" si="70"/>
        <v/>
      </c>
      <c r="M565" s="4"/>
      <c r="N565" s="79">
        <f>IF(OR($A565="",$B565=""),0,IF(COUNTIFS($A$5:$A565,$A565,$B$5:$B565,$B565)=1,1,0))</f>
        <v>0</v>
      </c>
      <c r="O565" s="79" t="str">
        <f t="shared" si="71"/>
        <v/>
      </c>
      <c r="P565" s="79" t="str">
        <f t="shared" si="72"/>
        <v/>
      </c>
      <c r="AL565" s="89" t="str">
        <f t="shared" ca="1" si="73"/>
        <v/>
      </c>
    </row>
    <row r="566" spans="1:38" x14ac:dyDescent="0.3">
      <c r="A566" s="70"/>
      <c r="B566" s="71"/>
      <c r="C566" s="71"/>
      <c r="D566" s="71"/>
      <c r="E566" s="72"/>
      <c r="F566" s="73"/>
      <c r="G566" s="74"/>
      <c r="H566" s="75" t="str">
        <f t="shared" si="66"/>
        <v/>
      </c>
      <c r="I566" s="16" t="str">
        <f t="shared" si="67"/>
        <v/>
      </c>
      <c r="J566" s="76" t="str">
        <f t="shared" si="68"/>
        <v/>
      </c>
      <c r="K566" s="77" t="str">
        <f t="shared" si="69"/>
        <v/>
      </c>
      <c r="L566" s="78" t="str">
        <f t="shared" si="70"/>
        <v/>
      </c>
      <c r="M566" s="4"/>
      <c r="N566" s="79">
        <f>IF(OR($A566="",$B566=""),0,IF(COUNTIFS($A$5:$A566,$A566,$B$5:$B566,$B566)=1,1,0))</f>
        <v>0</v>
      </c>
      <c r="O566" s="79" t="str">
        <f t="shared" si="71"/>
        <v/>
      </c>
      <c r="P566" s="79" t="str">
        <f t="shared" si="72"/>
        <v/>
      </c>
      <c r="AL566" s="89" t="str">
        <f t="shared" ca="1" si="73"/>
        <v/>
      </c>
    </row>
    <row r="567" spans="1:38" x14ac:dyDescent="0.3">
      <c r="A567" s="70"/>
      <c r="B567" s="71"/>
      <c r="C567" s="71"/>
      <c r="D567" s="71"/>
      <c r="E567" s="72"/>
      <c r="F567" s="73"/>
      <c r="G567" s="74"/>
      <c r="H567" s="75" t="str">
        <f t="shared" si="66"/>
        <v/>
      </c>
      <c r="I567" s="16" t="str">
        <f t="shared" si="67"/>
        <v/>
      </c>
      <c r="J567" s="76" t="str">
        <f t="shared" si="68"/>
        <v/>
      </c>
      <c r="K567" s="77" t="str">
        <f t="shared" si="69"/>
        <v/>
      </c>
      <c r="L567" s="78" t="str">
        <f t="shared" si="70"/>
        <v/>
      </c>
      <c r="M567" s="4"/>
      <c r="N567" s="79">
        <f>IF(OR($A567="",$B567=""),0,IF(COUNTIFS($A$5:$A567,$A567,$B$5:$B567,$B567)=1,1,0))</f>
        <v>0</v>
      </c>
      <c r="O567" s="79" t="str">
        <f t="shared" si="71"/>
        <v/>
      </c>
      <c r="P567" s="79" t="str">
        <f t="shared" si="72"/>
        <v/>
      </c>
      <c r="AL567" s="89" t="str">
        <f t="shared" ca="1" si="73"/>
        <v/>
      </c>
    </row>
    <row r="568" spans="1:38" x14ac:dyDescent="0.3">
      <c r="A568" s="70"/>
      <c r="B568" s="71"/>
      <c r="C568" s="71"/>
      <c r="D568" s="71"/>
      <c r="E568" s="72"/>
      <c r="F568" s="73"/>
      <c r="G568" s="74"/>
      <c r="H568" s="75" t="str">
        <f t="shared" si="66"/>
        <v/>
      </c>
      <c r="I568" s="16" t="str">
        <f t="shared" si="67"/>
        <v/>
      </c>
      <c r="J568" s="76" t="str">
        <f t="shared" si="68"/>
        <v/>
      </c>
      <c r="K568" s="77" t="str">
        <f t="shared" si="69"/>
        <v/>
      </c>
      <c r="L568" s="78" t="str">
        <f t="shared" si="70"/>
        <v/>
      </c>
      <c r="M568" s="4"/>
      <c r="N568" s="79">
        <f>IF(OR($A568="",$B568=""),0,IF(COUNTIFS($A$5:$A568,$A568,$B$5:$B568,$B568)=1,1,0))</f>
        <v>0</v>
      </c>
      <c r="O568" s="79" t="str">
        <f t="shared" si="71"/>
        <v/>
      </c>
      <c r="P568" s="79" t="str">
        <f t="shared" si="72"/>
        <v/>
      </c>
      <c r="AL568" s="89" t="str">
        <f t="shared" ca="1" si="73"/>
        <v/>
      </c>
    </row>
    <row r="569" spans="1:38" x14ac:dyDescent="0.3">
      <c r="A569" s="70"/>
      <c r="B569" s="71"/>
      <c r="C569" s="71"/>
      <c r="D569" s="71"/>
      <c r="E569" s="72"/>
      <c r="F569" s="73"/>
      <c r="G569" s="74"/>
      <c r="H569" s="75" t="str">
        <f t="shared" si="66"/>
        <v/>
      </c>
      <c r="I569" s="16" t="str">
        <f t="shared" si="67"/>
        <v/>
      </c>
      <c r="J569" s="76" t="str">
        <f t="shared" si="68"/>
        <v/>
      </c>
      <c r="K569" s="77" t="str">
        <f t="shared" si="69"/>
        <v/>
      </c>
      <c r="L569" s="78" t="str">
        <f t="shared" si="70"/>
        <v/>
      </c>
      <c r="M569" s="4"/>
      <c r="N569" s="79">
        <f>IF(OR($A569="",$B569=""),0,IF(COUNTIFS($A$5:$A569,$A569,$B$5:$B569,$B569)=1,1,0))</f>
        <v>0</v>
      </c>
      <c r="O569" s="79" t="str">
        <f t="shared" si="71"/>
        <v/>
      </c>
      <c r="P569" s="79" t="str">
        <f t="shared" si="72"/>
        <v/>
      </c>
      <c r="AL569" s="89" t="str">
        <f t="shared" ca="1" si="73"/>
        <v/>
      </c>
    </row>
    <row r="570" spans="1:38" x14ac:dyDescent="0.3">
      <c r="A570" s="70"/>
      <c r="B570" s="71"/>
      <c r="C570" s="71"/>
      <c r="D570" s="71"/>
      <c r="E570" s="72"/>
      <c r="F570" s="73"/>
      <c r="G570" s="74"/>
      <c r="H570" s="75" t="str">
        <f t="shared" si="66"/>
        <v/>
      </c>
      <c r="I570" s="16" t="str">
        <f t="shared" si="67"/>
        <v/>
      </c>
      <c r="J570" s="76" t="str">
        <f t="shared" si="68"/>
        <v/>
      </c>
      <c r="K570" s="77" t="str">
        <f t="shared" si="69"/>
        <v/>
      </c>
      <c r="L570" s="78" t="str">
        <f t="shared" si="70"/>
        <v/>
      </c>
      <c r="M570" s="4"/>
      <c r="N570" s="79">
        <f>IF(OR($A570="",$B570=""),0,IF(COUNTIFS($A$5:$A570,$A570,$B$5:$B570,$B570)=1,1,0))</f>
        <v>0</v>
      </c>
      <c r="O570" s="79" t="str">
        <f t="shared" si="71"/>
        <v/>
      </c>
      <c r="P570" s="79" t="str">
        <f t="shared" si="72"/>
        <v/>
      </c>
      <c r="AL570" s="89" t="str">
        <f t="shared" ca="1" si="73"/>
        <v/>
      </c>
    </row>
    <row r="571" spans="1:38" x14ac:dyDescent="0.3">
      <c r="A571" s="70"/>
      <c r="B571" s="71"/>
      <c r="C571" s="71"/>
      <c r="D571" s="71"/>
      <c r="E571" s="72"/>
      <c r="F571" s="73"/>
      <c r="G571" s="74"/>
      <c r="H571" s="75" t="str">
        <f t="shared" si="66"/>
        <v/>
      </c>
      <c r="I571" s="16" t="str">
        <f t="shared" si="67"/>
        <v/>
      </c>
      <c r="J571" s="76" t="str">
        <f t="shared" si="68"/>
        <v/>
      </c>
      <c r="K571" s="77" t="str">
        <f t="shared" si="69"/>
        <v/>
      </c>
      <c r="L571" s="78" t="str">
        <f t="shared" si="70"/>
        <v/>
      </c>
      <c r="M571" s="4"/>
      <c r="N571" s="79">
        <f>IF(OR($A571="",$B571=""),0,IF(COUNTIFS($A$5:$A571,$A571,$B$5:$B571,$B571)=1,1,0))</f>
        <v>0</v>
      </c>
      <c r="O571" s="79" t="str">
        <f t="shared" si="71"/>
        <v/>
      </c>
      <c r="P571" s="79" t="str">
        <f t="shared" si="72"/>
        <v/>
      </c>
      <c r="AL571" s="89" t="str">
        <f t="shared" ca="1" si="73"/>
        <v/>
      </c>
    </row>
    <row r="572" spans="1:38" x14ac:dyDescent="0.3">
      <c r="A572" s="70"/>
      <c r="B572" s="71"/>
      <c r="C572" s="71"/>
      <c r="D572" s="71"/>
      <c r="E572" s="72"/>
      <c r="F572" s="73"/>
      <c r="G572" s="74"/>
      <c r="H572" s="75" t="str">
        <f t="shared" si="66"/>
        <v/>
      </c>
      <c r="I572" s="16" t="str">
        <f t="shared" si="67"/>
        <v/>
      </c>
      <c r="J572" s="76" t="str">
        <f t="shared" si="68"/>
        <v/>
      </c>
      <c r="K572" s="77" t="str">
        <f t="shared" si="69"/>
        <v/>
      </c>
      <c r="L572" s="78" t="str">
        <f t="shared" si="70"/>
        <v/>
      </c>
      <c r="M572" s="4"/>
      <c r="N572" s="79">
        <f>IF(OR($A572="",$B572=""),0,IF(COUNTIFS($A$5:$A572,$A572,$B$5:$B572,$B572)=1,1,0))</f>
        <v>0</v>
      </c>
      <c r="O572" s="79" t="str">
        <f t="shared" si="71"/>
        <v/>
      </c>
      <c r="P572" s="79" t="str">
        <f t="shared" si="72"/>
        <v/>
      </c>
      <c r="AL572" s="89" t="str">
        <f t="shared" ca="1" si="73"/>
        <v/>
      </c>
    </row>
    <row r="573" spans="1:38" x14ac:dyDescent="0.3">
      <c r="A573" s="70"/>
      <c r="B573" s="71"/>
      <c r="C573" s="71"/>
      <c r="D573" s="71"/>
      <c r="E573" s="72"/>
      <c r="F573" s="73"/>
      <c r="G573" s="74"/>
      <c r="H573" s="75" t="str">
        <f t="shared" si="66"/>
        <v/>
      </c>
      <c r="I573" s="16" t="str">
        <f t="shared" si="67"/>
        <v/>
      </c>
      <c r="J573" s="76" t="str">
        <f t="shared" si="68"/>
        <v/>
      </c>
      <c r="K573" s="77" t="str">
        <f t="shared" si="69"/>
        <v/>
      </c>
      <c r="L573" s="78" t="str">
        <f t="shared" si="70"/>
        <v/>
      </c>
      <c r="M573" s="4"/>
      <c r="N573" s="79">
        <f>IF(OR($A573="",$B573=""),0,IF(COUNTIFS($A$5:$A573,$A573,$B$5:$B573,$B573)=1,1,0))</f>
        <v>0</v>
      </c>
      <c r="O573" s="79" t="str">
        <f t="shared" si="71"/>
        <v/>
      </c>
      <c r="P573" s="79" t="str">
        <f t="shared" si="72"/>
        <v/>
      </c>
      <c r="AL573" s="89" t="str">
        <f t="shared" ca="1" si="73"/>
        <v/>
      </c>
    </row>
    <row r="574" spans="1:38" x14ac:dyDescent="0.3">
      <c r="A574" s="70"/>
      <c r="B574" s="71"/>
      <c r="C574" s="71"/>
      <c r="D574" s="71"/>
      <c r="E574" s="72"/>
      <c r="F574" s="73"/>
      <c r="G574" s="74"/>
      <c r="H574" s="75" t="str">
        <f t="shared" si="66"/>
        <v/>
      </c>
      <c r="I574" s="16" t="str">
        <f t="shared" si="67"/>
        <v/>
      </c>
      <c r="J574" s="76" t="str">
        <f t="shared" si="68"/>
        <v/>
      </c>
      <c r="K574" s="77" t="str">
        <f t="shared" si="69"/>
        <v/>
      </c>
      <c r="L574" s="78" t="str">
        <f t="shared" si="70"/>
        <v/>
      </c>
      <c r="M574" s="4"/>
      <c r="N574" s="79">
        <f>IF(OR($A574="",$B574=""),0,IF(COUNTIFS($A$5:$A574,$A574,$B$5:$B574,$B574)=1,1,0))</f>
        <v>0</v>
      </c>
      <c r="O574" s="79" t="str">
        <f t="shared" si="71"/>
        <v/>
      </c>
      <c r="P574" s="79" t="str">
        <f t="shared" si="72"/>
        <v/>
      </c>
      <c r="AL574" s="89" t="str">
        <f t="shared" ca="1" si="73"/>
        <v/>
      </c>
    </row>
    <row r="575" spans="1:38" x14ac:dyDescent="0.3">
      <c r="A575" s="70"/>
      <c r="B575" s="71"/>
      <c r="C575" s="71"/>
      <c r="D575" s="71"/>
      <c r="E575" s="72"/>
      <c r="F575" s="73"/>
      <c r="G575" s="74"/>
      <c r="H575" s="75" t="str">
        <f t="shared" si="66"/>
        <v/>
      </c>
      <c r="I575" s="16" t="str">
        <f t="shared" si="67"/>
        <v/>
      </c>
      <c r="J575" s="76" t="str">
        <f t="shared" si="68"/>
        <v/>
      </c>
      <c r="K575" s="77" t="str">
        <f t="shared" si="69"/>
        <v/>
      </c>
      <c r="L575" s="78" t="str">
        <f t="shared" si="70"/>
        <v/>
      </c>
      <c r="M575" s="4"/>
      <c r="N575" s="79">
        <f>IF(OR($A575="",$B575=""),0,IF(COUNTIFS($A$5:$A575,$A575,$B$5:$B575,$B575)=1,1,0))</f>
        <v>0</v>
      </c>
      <c r="O575" s="79" t="str">
        <f t="shared" si="71"/>
        <v/>
      </c>
      <c r="P575" s="79" t="str">
        <f t="shared" si="72"/>
        <v/>
      </c>
      <c r="AL575" s="89" t="str">
        <f t="shared" ca="1" si="73"/>
        <v/>
      </c>
    </row>
    <row r="576" spans="1:38" x14ac:dyDescent="0.3">
      <c r="A576" s="70"/>
      <c r="B576" s="71"/>
      <c r="C576" s="71"/>
      <c r="D576" s="71"/>
      <c r="E576" s="72"/>
      <c r="F576" s="73"/>
      <c r="G576" s="74"/>
      <c r="H576" s="75" t="str">
        <f t="shared" si="66"/>
        <v/>
      </c>
      <c r="I576" s="16" t="str">
        <f t="shared" si="67"/>
        <v/>
      </c>
      <c r="J576" s="76" t="str">
        <f t="shared" si="68"/>
        <v/>
      </c>
      <c r="K576" s="77" t="str">
        <f t="shared" si="69"/>
        <v/>
      </c>
      <c r="L576" s="78" t="str">
        <f t="shared" si="70"/>
        <v/>
      </c>
      <c r="M576" s="4"/>
      <c r="N576" s="79">
        <f>IF(OR($A576="",$B576=""),0,IF(COUNTIFS($A$5:$A576,$A576,$B$5:$B576,$B576)=1,1,0))</f>
        <v>0</v>
      </c>
      <c r="O576" s="79" t="str">
        <f t="shared" si="71"/>
        <v/>
      </c>
      <c r="P576" s="79" t="str">
        <f t="shared" si="72"/>
        <v/>
      </c>
      <c r="AL576" s="89" t="str">
        <f t="shared" ca="1" si="73"/>
        <v/>
      </c>
    </row>
    <row r="577" spans="1:38" x14ac:dyDescent="0.3">
      <c r="A577" s="70"/>
      <c r="B577" s="71"/>
      <c r="C577" s="71"/>
      <c r="D577" s="71"/>
      <c r="E577" s="72"/>
      <c r="F577" s="73"/>
      <c r="G577" s="74"/>
      <c r="H577" s="75" t="str">
        <f t="shared" si="66"/>
        <v/>
      </c>
      <c r="I577" s="16" t="str">
        <f t="shared" si="67"/>
        <v/>
      </c>
      <c r="J577" s="76" t="str">
        <f t="shared" si="68"/>
        <v/>
      </c>
      <c r="K577" s="77" t="str">
        <f t="shared" si="69"/>
        <v/>
      </c>
      <c r="L577" s="78" t="str">
        <f t="shared" si="70"/>
        <v/>
      </c>
      <c r="M577" s="4"/>
      <c r="N577" s="79">
        <f>IF(OR($A577="",$B577=""),0,IF(COUNTIFS($A$5:$A577,$A577,$B$5:$B577,$B577)=1,1,0))</f>
        <v>0</v>
      </c>
      <c r="O577" s="79" t="str">
        <f t="shared" si="71"/>
        <v/>
      </c>
      <c r="P577" s="79" t="str">
        <f t="shared" si="72"/>
        <v/>
      </c>
      <c r="AL577" s="89" t="str">
        <f t="shared" ca="1" si="73"/>
        <v/>
      </c>
    </row>
    <row r="578" spans="1:38" x14ac:dyDescent="0.3">
      <c r="A578" s="70"/>
      <c r="B578" s="71"/>
      <c r="C578" s="71"/>
      <c r="D578" s="71"/>
      <c r="E578" s="72"/>
      <c r="F578" s="73"/>
      <c r="G578" s="74"/>
      <c r="H578" s="75" t="str">
        <f t="shared" si="66"/>
        <v/>
      </c>
      <c r="I578" s="16" t="str">
        <f t="shared" si="67"/>
        <v/>
      </c>
      <c r="J578" s="76" t="str">
        <f t="shared" si="68"/>
        <v/>
      </c>
      <c r="K578" s="77" t="str">
        <f t="shared" si="69"/>
        <v/>
      </c>
      <c r="L578" s="78" t="str">
        <f t="shared" si="70"/>
        <v/>
      </c>
      <c r="M578" s="4"/>
      <c r="N578" s="79">
        <f>IF(OR($A578="",$B578=""),0,IF(COUNTIFS($A$5:$A578,$A578,$B$5:$B578,$B578)=1,1,0))</f>
        <v>0</v>
      </c>
      <c r="O578" s="79" t="str">
        <f t="shared" si="71"/>
        <v/>
      </c>
      <c r="P578" s="79" t="str">
        <f t="shared" si="72"/>
        <v/>
      </c>
      <c r="AL578" s="89" t="str">
        <f t="shared" ca="1" si="73"/>
        <v/>
      </c>
    </row>
    <row r="579" spans="1:38" x14ac:dyDescent="0.3">
      <c r="A579" s="70"/>
      <c r="B579" s="71"/>
      <c r="C579" s="71"/>
      <c r="D579" s="71"/>
      <c r="E579" s="72"/>
      <c r="F579" s="73"/>
      <c r="G579" s="74"/>
      <c r="H579" s="75" t="str">
        <f t="shared" si="66"/>
        <v/>
      </c>
      <c r="I579" s="16" t="str">
        <f t="shared" si="67"/>
        <v/>
      </c>
      <c r="J579" s="76" t="str">
        <f t="shared" si="68"/>
        <v/>
      </c>
      <c r="K579" s="77" t="str">
        <f t="shared" si="69"/>
        <v/>
      </c>
      <c r="L579" s="78" t="str">
        <f t="shared" si="70"/>
        <v/>
      </c>
      <c r="M579" s="4"/>
      <c r="N579" s="79">
        <f>IF(OR($A579="",$B579=""),0,IF(COUNTIFS($A$5:$A579,$A579,$B$5:$B579,$B579)=1,1,0))</f>
        <v>0</v>
      </c>
      <c r="O579" s="79" t="str">
        <f t="shared" si="71"/>
        <v/>
      </c>
      <c r="P579" s="79" t="str">
        <f t="shared" si="72"/>
        <v/>
      </c>
      <c r="AL579" s="89" t="str">
        <f t="shared" ca="1" si="73"/>
        <v/>
      </c>
    </row>
    <row r="580" spans="1:38" x14ac:dyDescent="0.3">
      <c r="A580" s="70"/>
      <c r="B580" s="71"/>
      <c r="C580" s="71"/>
      <c r="D580" s="71"/>
      <c r="E580" s="72"/>
      <c r="F580" s="73"/>
      <c r="G580" s="74"/>
      <c r="H580" s="75" t="str">
        <f t="shared" si="66"/>
        <v/>
      </c>
      <c r="I580" s="16" t="str">
        <f t="shared" si="67"/>
        <v/>
      </c>
      <c r="J580" s="76" t="str">
        <f t="shared" si="68"/>
        <v/>
      </c>
      <c r="K580" s="77" t="str">
        <f t="shared" si="69"/>
        <v/>
      </c>
      <c r="L580" s="78" t="str">
        <f t="shared" si="70"/>
        <v/>
      </c>
      <c r="M580" s="4"/>
      <c r="N580" s="79">
        <f>IF(OR($A580="",$B580=""),0,IF(COUNTIFS($A$5:$A580,$A580,$B$5:$B580,$B580)=1,1,0))</f>
        <v>0</v>
      </c>
      <c r="O580" s="79" t="str">
        <f t="shared" si="71"/>
        <v/>
      </c>
      <c r="P580" s="79" t="str">
        <f t="shared" si="72"/>
        <v/>
      </c>
      <c r="AL580" s="89" t="str">
        <f t="shared" ca="1" si="73"/>
        <v/>
      </c>
    </row>
    <row r="581" spans="1:38" x14ac:dyDescent="0.3">
      <c r="A581" s="70"/>
      <c r="B581" s="71"/>
      <c r="C581" s="71"/>
      <c r="D581" s="71"/>
      <c r="E581" s="72"/>
      <c r="F581" s="73"/>
      <c r="G581" s="74"/>
      <c r="H581" s="75" t="str">
        <f t="shared" ref="H581:H604" si="74">IF(OR($A581="",$B581="",$I581=""),"",SUMPRODUCT(($A$5:$A$604=$A581)*($B$5:$B$604=$B581)*($I$5:$I$604&lt;&gt;"")*($I$5:$I$604&lt;$I581))+SUMPRODUCT(($A$5:$A$604=$A581)*($B$5:$B$604=$B581)*($I$5:$I$604=$I581)*(ROW($I$5:$I$604)&lt;=ROW($I581))))</f>
        <v/>
      </c>
      <c r="I581" s="16" t="str">
        <f t="shared" ref="I581:I604" si="75">IF(TRIM($C581&amp;$D581)="","",PROPER(TRIM($C581))&amp;" "&amp;UPPER(TRIM($D581)))</f>
        <v/>
      </c>
      <c r="J581" s="76" t="str">
        <f t="shared" ref="J581:J604" si="76">IF(OR($A581="",$B581="",$H581=""),"",$A581&amp;"|"&amp;$B581&amp;"|"&amp;$H581)</f>
        <v/>
      </c>
      <c r="K581" s="77" t="str">
        <f t="shared" ref="K581:K604" si="77">IF(COUNTA($A581:$E581)=0,"",IF($A581="","← Nurodykite lygą (A / B / C)",IF($B581="","← Nurodykite komandą",IF(TRIM($C581)="","← Nurodykite vardą",IF(TRIM($D581)="","← Nurodykite pavardę",IF(NOT(ISNUMBER($E581)),"← Nurodykite Hcp (jei neturi – 0)",IF(AND(OR($A581="B",$A581="C"),NOT(OR($F581="Rytai",$F581="Vakarai"))),"← Nurodykite pogrupį (Rytai / Vakarai)",IF(AND($A581="A",OR($F581="Rytai",$F581="Vakarai")),"← A lygos komandos į pogrupius neskirstomos",IF(COUNTIFS($A$5:$A$604,$A581,$B$5:$B$604,$B581,$F$5:$F$604,"&lt;&gt;"&amp;$F581)&gt;0,"← Šios komandos pogrupis nurodytas nevienodai",IF($H581&gt;8,"← Šioje komandoje jau daugiau nei 8 žaidėjai",""))))))))))</f>
        <v/>
      </c>
      <c r="L581" s="78" t="str">
        <f t="shared" ref="L581:L604" si="78">IF($I581="","",IF(COUNTIF($I$5:$I$604,$I581)&gt;1,"ℹ tokių pačių vardų sąraše: "&amp;COUNTIF($I$5:$I$604,$I581),IF(AND($B581&lt;&gt;"",COUNTIFS($A$5:$A$604,$A581,$B$5:$B$604,$B581)&lt;3),"ℹ šioje komandoje tik "&amp;COUNTIFS($A$5:$A$604,$A581,$B$5:$B$604,$B581)&amp;" žaid. – ar ne rašybos klaida?","")))</f>
        <v/>
      </c>
      <c r="M581" s="4"/>
      <c r="N581" s="79">
        <f>IF(OR($A581="",$B581=""),0,IF(COUNTIFS($A$5:$A581,$A581,$B$5:$B581,$B581)=1,1,0))</f>
        <v>0</v>
      </c>
      <c r="O581" s="79" t="str">
        <f t="shared" ref="O581:O604" si="79">IF($N581&lt;&gt;1,"",1+SUMPRODUCT(($A$5:$A$604=$A581)*($B$5:$B$604&lt;$B581)*($N$5:$N$604=1)))</f>
        <v/>
      </c>
      <c r="P581" s="79" t="str">
        <f t="shared" ref="P581:P604" si="80">IF(OR($N581&lt;&gt;1,$A581&lt;&gt;Lyga,AND(Pogrupis&lt;&gt;"",$F581&lt;&gt;Pogrupis)),"",1+SUMPRODUCT(($A$5:$A$604=Lyga)*($N$5:$N$604=1)*($B$5:$B$604&lt;$B581)*((($F$5:$F$604=Pogrupis)+(Pogrupis=""))&gt;0)))</f>
        <v/>
      </c>
      <c r="AL581" s="89" t="str">
        <f t="shared" ref="AL581:AL604" ca="1" si="81">IF(NOT(OR($A581="A",$A581="B",$A581="C")),"","ADMIN_Duomenys!$"&amp;IF($A581="A","W",IF($A581="B","Y","AA"))&amp;"$5:$"&amp;IF($A581="A","W",IF($A581="B","Y","AA"))&amp;"$"&amp;(4+MAX(1,COUNTIF(INDIRECT("ADMIN_Duomenys!$"&amp;IF($A581="A","W",IF($A581="B","Y","AA"))&amp;"$5:$"&amp;IF($A581="A","W",IF($A581="B","Y","AA"))&amp;"$44"),"?*"))))</f>
        <v/>
      </c>
    </row>
    <row r="582" spans="1:38" x14ac:dyDescent="0.3">
      <c r="A582" s="70"/>
      <c r="B582" s="71"/>
      <c r="C582" s="71"/>
      <c r="D582" s="71"/>
      <c r="E582" s="72"/>
      <c r="F582" s="73"/>
      <c r="G582" s="74"/>
      <c r="H582" s="75" t="str">
        <f t="shared" si="74"/>
        <v/>
      </c>
      <c r="I582" s="16" t="str">
        <f t="shared" si="75"/>
        <v/>
      </c>
      <c r="J582" s="76" t="str">
        <f t="shared" si="76"/>
        <v/>
      </c>
      <c r="K582" s="77" t="str">
        <f t="shared" si="77"/>
        <v/>
      </c>
      <c r="L582" s="78" t="str">
        <f t="shared" si="78"/>
        <v/>
      </c>
      <c r="M582" s="4"/>
      <c r="N582" s="79">
        <f>IF(OR($A582="",$B582=""),0,IF(COUNTIFS($A$5:$A582,$A582,$B$5:$B582,$B582)=1,1,0))</f>
        <v>0</v>
      </c>
      <c r="O582" s="79" t="str">
        <f t="shared" si="79"/>
        <v/>
      </c>
      <c r="P582" s="79" t="str">
        <f t="shared" si="80"/>
        <v/>
      </c>
      <c r="AL582" s="89" t="str">
        <f t="shared" ca="1" si="81"/>
        <v/>
      </c>
    </row>
    <row r="583" spans="1:38" x14ac:dyDescent="0.3">
      <c r="A583" s="70"/>
      <c r="B583" s="71"/>
      <c r="C583" s="71"/>
      <c r="D583" s="71"/>
      <c r="E583" s="72"/>
      <c r="F583" s="73"/>
      <c r="G583" s="74"/>
      <c r="H583" s="75" t="str">
        <f t="shared" si="74"/>
        <v/>
      </c>
      <c r="I583" s="16" t="str">
        <f t="shared" si="75"/>
        <v/>
      </c>
      <c r="J583" s="76" t="str">
        <f t="shared" si="76"/>
        <v/>
      </c>
      <c r="K583" s="77" t="str">
        <f t="shared" si="77"/>
        <v/>
      </c>
      <c r="L583" s="78" t="str">
        <f t="shared" si="78"/>
        <v/>
      </c>
      <c r="M583" s="4"/>
      <c r="N583" s="79">
        <f>IF(OR($A583="",$B583=""),0,IF(COUNTIFS($A$5:$A583,$A583,$B$5:$B583,$B583)=1,1,0))</f>
        <v>0</v>
      </c>
      <c r="O583" s="79" t="str">
        <f t="shared" si="79"/>
        <v/>
      </c>
      <c r="P583" s="79" t="str">
        <f t="shared" si="80"/>
        <v/>
      </c>
      <c r="AL583" s="89" t="str">
        <f t="shared" ca="1" si="81"/>
        <v/>
      </c>
    </row>
    <row r="584" spans="1:38" x14ac:dyDescent="0.3">
      <c r="A584" s="70"/>
      <c r="B584" s="71"/>
      <c r="C584" s="71"/>
      <c r="D584" s="71"/>
      <c r="E584" s="72"/>
      <c r="F584" s="73"/>
      <c r="G584" s="74"/>
      <c r="H584" s="75" t="str">
        <f t="shared" si="74"/>
        <v/>
      </c>
      <c r="I584" s="16" t="str">
        <f t="shared" si="75"/>
        <v/>
      </c>
      <c r="J584" s="76" t="str">
        <f t="shared" si="76"/>
        <v/>
      </c>
      <c r="K584" s="77" t="str">
        <f t="shared" si="77"/>
        <v/>
      </c>
      <c r="L584" s="78" t="str">
        <f t="shared" si="78"/>
        <v/>
      </c>
      <c r="M584" s="4"/>
      <c r="N584" s="79">
        <f>IF(OR($A584="",$B584=""),0,IF(COUNTIFS($A$5:$A584,$A584,$B$5:$B584,$B584)=1,1,0))</f>
        <v>0</v>
      </c>
      <c r="O584" s="79" t="str">
        <f t="shared" si="79"/>
        <v/>
      </c>
      <c r="P584" s="79" t="str">
        <f t="shared" si="80"/>
        <v/>
      </c>
      <c r="AL584" s="89" t="str">
        <f t="shared" ca="1" si="81"/>
        <v/>
      </c>
    </row>
    <row r="585" spans="1:38" x14ac:dyDescent="0.3">
      <c r="A585" s="70"/>
      <c r="B585" s="71"/>
      <c r="C585" s="71"/>
      <c r="D585" s="71"/>
      <c r="E585" s="72"/>
      <c r="F585" s="73"/>
      <c r="G585" s="74"/>
      <c r="H585" s="75" t="str">
        <f t="shared" si="74"/>
        <v/>
      </c>
      <c r="I585" s="16" t="str">
        <f t="shared" si="75"/>
        <v/>
      </c>
      <c r="J585" s="76" t="str">
        <f t="shared" si="76"/>
        <v/>
      </c>
      <c r="K585" s="77" t="str">
        <f t="shared" si="77"/>
        <v/>
      </c>
      <c r="L585" s="78" t="str">
        <f t="shared" si="78"/>
        <v/>
      </c>
      <c r="M585" s="4"/>
      <c r="N585" s="79">
        <f>IF(OR($A585="",$B585=""),0,IF(COUNTIFS($A$5:$A585,$A585,$B$5:$B585,$B585)=1,1,0))</f>
        <v>0</v>
      </c>
      <c r="O585" s="79" t="str">
        <f t="shared" si="79"/>
        <v/>
      </c>
      <c r="P585" s="79" t="str">
        <f t="shared" si="80"/>
        <v/>
      </c>
      <c r="AL585" s="89" t="str">
        <f t="shared" ca="1" si="81"/>
        <v/>
      </c>
    </row>
    <row r="586" spans="1:38" x14ac:dyDescent="0.3">
      <c r="A586" s="70"/>
      <c r="B586" s="71"/>
      <c r="C586" s="71"/>
      <c r="D586" s="71"/>
      <c r="E586" s="72"/>
      <c r="F586" s="73"/>
      <c r="G586" s="74"/>
      <c r="H586" s="75" t="str">
        <f t="shared" si="74"/>
        <v/>
      </c>
      <c r="I586" s="16" t="str">
        <f t="shared" si="75"/>
        <v/>
      </c>
      <c r="J586" s="76" t="str">
        <f t="shared" si="76"/>
        <v/>
      </c>
      <c r="K586" s="77" t="str">
        <f t="shared" si="77"/>
        <v/>
      </c>
      <c r="L586" s="78" t="str">
        <f t="shared" si="78"/>
        <v/>
      </c>
      <c r="M586" s="4"/>
      <c r="N586" s="79">
        <f>IF(OR($A586="",$B586=""),0,IF(COUNTIFS($A$5:$A586,$A586,$B$5:$B586,$B586)=1,1,0))</f>
        <v>0</v>
      </c>
      <c r="O586" s="79" t="str">
        <f t="shared" si="79"/>
        <v/>
      </c>
      <c r="P586" s="79" t="str">
        <f t="shared" si="80"/>
        <v/>
      </c>
      <c r="AL586" s="89" t="str">
        <f t="shared" ca="1" si="81"/>
        <v/>
      </c>
    </row>
    <row r="587" spans="1:38" x14ac:dyDescent="0.3">
      <c r="A587" s="70"/>
      <c r="B587" s="71"/>
      <c r="C587" s="71"/>
      <c r="D587" s="71"/>
      <c r="E587" s="72"/>
      <c r="F587" s="73"/>
      <c r="G587" s="74"/>
      <c r="H587" s="75" t="str">
        <f t="shared" si="74"/>
        <v/>
      </c>
      <c r="I587" s="16" t="str">
        <f t="shared" si="75"/>
        <v/>
      </c>
      <c r="J587" s="76" t="str">
        <f t="shared" si="76"/>
        <v/>
      </c>
      <c r="K587" s="77" t="str">
        <f t="shared" si="77"/>
        <v/>
      </c>
      <c r="L587" s="78" t="str">
        <f t="shared" si="78"/>
        <v/>
      </c>
      <c r="M587" s="4"/>
      <c r="N587" s="79">
        <f>IF(OR($A587="",$B587=""),0,IF(COUNTIFS($A$5:$A587,$A587,$B$5:$B587,$B587)=1,1,0))</f>
        <v>0</v>
      </c>
      <c r="O587" s="79" t="str">
        <f t="shared" si="79"/>
        <v/>
      </c>
      <c r="P587" s="79" t="str">
        <f t="shared" si="80"/>
        <v/>
      </c>
      <c r="AL587" s="89" t="str">
        <f t="shared" ca="1" si="81"/>
        <v/>
      </c>
    </row>
    <row r="588" spans="1:38" x14ac:dyDescent="0.3">
      <c r="A588" s="70"/>
      <c r="B588" s="71"/>
      <c r="C588" s="71"/>
      <c r="D588" s="71"/>
      <c r="E588" s="72"/>
      <c r="F588" s="73"/>
      <c r="G588" s="74"/>
      <c r="H588" s="75" t="str">
        <f t="shared" si="74"/>
        <v/>
      </c>
      <c r="I588" s="16" t="str">
        <f t="shared" si="75"/>
        <v/>
      </c>
      <c r="J588" s="76" t="str">
        <f t="shared" si="76"/>
        <v/>
      </c>
      <c r="K588" s="77" t="str">
        <f t="shared" si="77"/>
        <v/>
      </c>
      <c r="L588" s="78" t="str">
        <f t="shared" si="78"/>
        <v/>
      </c>
      <c r="M588" s="4"/>
      <c r="N588" s="79">
        <f>IF(OR($A588="",$B588=""),0,IF(COUNTIFS($A$5:$A588,$A588,$B$5:$B588,$B588)=1,1,0))</f>
        <v>0</v>
      </c>
      <c r="O588" s="79" t="str">
        <f t="shared" si="79"/>
        <v/>
      </c>
      <c r="P588" s="79" t="str">
        <f t="shared" si="80"/>
        <v/>
      </c>
      <c r="AL588" s="89" t="str">
        <f t="shared" ca="1" si="81"/>
        <v/>
      </c>
    </row>
    <row r="589" spans="1:38" x14ac:dyDescent="0.3">
      <c r="A589" s="70"/>
      <c r="B589" s="71"/>
      <c r="C589" s="71"/>
      <c r="D589" s="71"/>
      <c r="E589" s="72"/>
      <c r="F589" s="73"/>
      <c r="G589" s="74"/>
      <c r="H589" s="75" t="str">
        <f t="shared" si="74"/>
        <v/>
      </c>
      <c r="I589" s="16" t="str">
        <f t="shared" si="75"/>
        <v/>
      </c>
      <c r="J589" s="76" t="str">
        <f t="shared" si="76"/>
        <v/>
      </c>
      <c r="K589" s="77" t="str">
        <f t="shared" si="77"/>
        <v/>
      </c>
      <c r="L589" s="78" t="str">
        <f t="shared" si="78"/>
        <v/>
      </c>
      <c r="M589" s="4"/>
      <c r="N589" s="79">
        <f>IF(OR($A589="",$B589=""),0,IF(COUNTIFS($A$5:$A589,$A589,$B$5:$B589,$B589)=1,1,0))</f>
        <v>0</v>
      </c>
      <c r="O589" s="79" t="str">
        <f t="shared" si="79"/>
        <v/>
      </c>
      <c r="P589" s="79" t="str">
        <f t="shared" si="80"/>
        <v/>
      </c>
      <c r="AL589" s="89" t="str">
        <f t="shared" ca="1" si="81"/>
        <v/>
      </c>
    </row>
    <row r="590" spans="1:38" x14ac:dyDescent="0.3">
      <c r="A590" s="70"/>
      <c r="B590" s="71"/>
      <c r="C590" s="71"/>
      <c r="D590" s="71"/>
      <c r="E590" s="72"/>
      <c r="F590" s="73"/>
      <c r="G590" s="74"/>
      <c r="H590" s="75" t="str">
        <f t="shared" si="74"/>
        <v/>
      </c>
      <c r="I590" s="16" t="str">
        <f t="shared" si="75"/>
        <v/>
      </c>
      <c r="J590" s="76" t="str">
        <f t="shared" si="76"/>
        <v/>
      </c>
      <c r="K590" s="77" t="str">
        <f t="shared" si="77"/>
        <v/>
      </c>
      <c r="L590" s="78" t="str">
        <f t="shared" si="78"/>
        <v/>
      </c>
      <c r="M590" s="4"/>
      <c r="N590" s="79">
        <f>IF(OR($A590="",$B590=""),0,IF(COUNTIFS($A$5:$A590,$A590,$B$5:$B590,$B590)=1,1,0))</f>
        <v>0</v>
      </c>
      <c r="O590" s="79" t="str">
        <f t="shared" si="79"/>
        <v/>
      </c>
      <c r="P590" s="79" t="str">
        <f t="shared" si="80"/>
        <v/>
      </c>
      <c r="AL590" s="89" t="str">
        <f t="shared" ca="1" si="81"/>
        <v/>
      </c>
    </row>
    <row r="591" spans="1:38" x14ac:dyDescent="0.3">
      <c r="A591" s="70"/>
      <c r="B591" s="71"/>
      <c r="C591" s="71"/>
      <c r="D591" s="71"/>
      <c r="E591" s="72"/>
      <c r="F591" s="73"/>
      <c r="G591" s="74"/>
      <c r="H591" s="75" t="str">
        <f t="shared" si="74"/>
        <v/>
      </c>
      <c r="I591" s="16" t="str">
        <f t="shared" si="75"/>
        <v/>
      </c>
      <c r="J591" s="76" t="str">
        <f t="shared" si="76"/>
        <v/>
      </c>
      <c r="K591" s="77" t="str">
        <f t="shared" si="77"/>
        <v/>
      </c>
      <c r="L591" s="78" t="str">
        <f t="shared" si="78"/>
        <v/>
      </c>
      <c r="M591" s="4"/>
      <c r="N591" s="79">
        <f>IF(OR($A591="",$B591=""),0,IF(COUNTIFS($A$5:$A591,$A591,$B$5:$B591,$B591)=1,1,0))</f>
        <v>0</v>
      </c>
      <c r="O591" s="79" t="str">
        <f t="shared" si="79"/>
        <v/>
      </c>
      <c r="P591" s="79" t="str">
        <f t="shared" si="80"/>
        <v/>
      </c>
      <c r="AL591" s="89" t="str">
        <f t="shared" ca="1" si="81"/>
        <v/>
      </c>
    </row>
    <row r="592" spans="1:38" x14ac:dyDescent="0.3">
      <c r="A592" s="70"/>
      <c r="B592" s="71"/>
      <c r="C592" s="71"/>
      <c r="D592" s="71"/>
      <c r="E592" s="72"/>
      <c r="F592" s="73"/>
      <c r="G592" s="74"/>
      <c r="H592" s="75" t="str">
        <f t="shared" si="74"/>
        <v/>
      </c>
      <c r="I592" s="16" t="str">
        <f t="shared" si="75"/>
        <v/>
      </c>
      <c r="J592" s="76" t="str">
        <f t="shared" si="76"/>
        <v/>
      </c>
      <c r="K592" s="77" t="str">
        <f t="shared" si="77"/>
        <v/>
      </c>
      <c r="L592" s="78" t="str">
        <f t="shared" si="78"/>
        <v/>
      </c>
      <c r="M592" s="4"/>
      <c r="N592" s="79">
        <f>IF(OR($A592="",$B592=""),0,IF(COUNTIFS($A$5:$A592,$A592,$B$5:$B592,$B592)=1,1,0))</f>
        <v>0</v>
      </c>
      <c r="O592" s="79" t="str">
        <f t="shared" si="79"/>
        <v/>
      </c>
      <c r="P592" s="79" t="str">
        <f t="shared" si="80"/>
        <v/>
      </c>
      <c r="AL592" s="89" t="str">
        <f t="shared" ca="1" si="81"/>
        <v/>
      </c>
    </row>
    <row r="593" spans="1:38" x14ac:dyDescent="0.3">
      <c r="A593" s="70"/>
      <c r="B593" s="71"/>
      <c r="C593" s="71"/>
      <c r="D593" s="71"/>
      <c r="E593" s="72"/>
      <c r="F593" s="73"/>
      <c r="G593" s="74"/>
      <c r="H593" s="75" t="str">
        <f t="shared" si="74"/>
        <v/>
      </c>
      <c r="I593" s="16" t="str">
        <f t="shared" si="75"/>
        <v/>
      </c>
      <c r="J593" s="76" t="str">
        <f t="shared" si="76"/>
        <v/>
      </c>
      <c r="K593" s="77" t="str">
        <f t="shared" si="77"/>
        <v/>
      </c>
      <c r="L593" s="78" t="str">
        <f t="shared" si="78"/>
        <v/>
      </c>
      <c r="M593" s="4"/>
      <c r="N593" s="79">
        <f>IF(OR($A593="",$B593=""),0,IF(COUNTIFS($A$5:$A593,$A593,$B$5:$B593,$B593)=1,1,0))</f>
        <v>0</v>
      </c>
      <c r="O593" s="79" t="str">
        <f t="shared" si="79"/>
        <v/>
      </c>
      <c r="P593" s="79" t="str">
        <f t="shared" si="80"/>
        <v/>
      </c>
      <c r="AL593" s="89" t="str">
        <f t="shared" ca="1" si="81"/>
        <v/>
      </c>
    </row>
    <row r="594" spans="1:38" x14ac:dyDescent="0.3">
      <c r="A594" s="70"/>
      <c r="B594" s="71"/>
      <c r="C594" s="71"/>
      <c r="D594" s="71"/>
      <c r="E594" s="72"/>
      <c r="F594" s="73"/>
      <c r="G594" s="74"/>
      <c r="H594" s="75" t="str">
        <f t="shared" si="74"/>
        <v/>
      </c>
      <c r="I594" s="16" t="str">
        <f t="shared" si="75"/>
        <v/>
      </c>
      <c r="J594" s="76" t="str">
        <f t="shared" si="76"/>
        <v/>
      </c>
      <c r="K594" s="77" t="str">
        <f t="shared" si="77"/>
        <v/>
      </c>
      <c r="L594" s="78" t="str">
        <f t="shared" si="78"/>
        <v/>
      </c>
      <c r="M594" s="4"/>
      <c r="N594" s="79">
        <f>IF(OR($A594="",$B594=""),0,IF(COUNTIFS($A$5:$A594,$A594,$B$5:$B594,$B594)=1,1,0))</f>
        <v>0</v>
      </c>
      <c r="O594" s="79" t="str">
        <f t="shared" si="79"/>
        <v/>
      </c>
      <c r="P594" s="79" t="str">
        <f t="shared" si="80"/>
        <v/>
      </c>
      <c r="AL594" s="89" t="str">
        <f t="shared" ca="1" si="81"/>
        <v/>
      </c>
    </row>
    <row r="595" spans="1:38" x14ac:dyDescent="0.3">
      <c r="A595" s="70"/>
      <c r="B595" s="71"/>
      <c r="C595" s="71"/>
      <c r="D595" s="71"/>
      <c r="E595" s="72"/>
      <c r="F595" s="73"/>
      <c r="G595" s="74"/>
      <c r="H595" s="75" t="str">
        <f t="shared" si="74"/>
        <v/>
      </c>
      <c r="I595" s="16" t="str">
        <f t="shared" si="75"/>
        <v/>
      </c>
      <c r="J595" s="76" t="str">
        <f t="shared" si="76"/>
        <v/>
      </c>
      <c r="K595" s="77" t="str">
        <f t="shared" si="77"/>
        <v/>
      </c>
      <c r="L595" s="78" t="str">
        <f t="shared" si="78"/>
        <v/>
      </c>
      <c r="M595" s="4"/>
      <c r="N595" s="79">
        <f>IF(OR($A595="",$B595=""),0,IF(COUNTIFS($A$5:$A595,$A595,$B$5:$B595,$B595)=1,1,0))</f>
        <v>0</v>
      </c>
      <c r="O595" s="79" t="str">
        <f t="shared" si="79"/>
        <v/>
      </c>
      <c r="P595" s="79" t="str">
        <f t="shared" si="80"/>
        <v/>
      </c>
      <c r="AL595" s="89" t="str">
        <f t="shared" ca="1" si="81"/>
        <v/>
      </c>
    </row>
    <row r="596" spans="1:38" x14ac:dyDescent="0.3">
      <c r="A596" s="70"/>
      <c r="B596" s="71"/>
      <c r="C596" s="71"/>
      <c r="D596" s="71"/>
      <c r="E596" s="72"/>
      <c r="F596" s="73"/>
      <c r="G596" s="74"/>
      <c r="H596" s="75" t="str">
        <f t="shared" si="74"/>
        <v/>
      </c>
      <c r="I596" s="16" t="str">
        <f t="shared" si="75"/>
        <v/>
      </c>
      <c r="J596" s="76" t="str">
        <f t="shared" si="76"/>
        <v/>
      </c>
      <c r="K596" s="77" t="str">
        <f t="shared" si="77"/>
        <v/>
      </c>
      <c r="L596" s="78" t="str">
        <f t="shared" si="78"/>
        <v/>
      </c>
      <c r="M596" s="4"/>
      <c r="N596" s="79">
        <f>IF(OR($A596="",$B596=""),0,IF(COUNTIFS($A$5:$A596,$A596,$B$5:$B596,$B596)=1,1,0))</f>
        <v>0</v>
      </c>
      <c r="O596" s="79" t="str">
        <f t="shared" si="79"/>
        <v/>
      </c>
      <c r="P596" s="79" t="str">
        <f t="shared" si="80"/>
        <v/>
      </c>
      <c r="AL596" s="89" t="str">
        <f t="shared" ca="1" si="81"/>
        <v/>
      </c>
    </row>
    <row r="597" spans="1:38" x14ac:dyDescent="0.3">
      <c r="A597" s="70"/>
      <c r="B597" s="71"/>
      <c r="C597" s="71"/>
      <c r="D597" s="71"/>
      <c r="E597" s="72"/>
      <c r="F597" s="73"/>
      <c r="G597" s="74"/>
      <c r="H597" s="75" t="str">
        <f t="shared" si="74"/>
        <v/>
      </c>
      <c r="I597" s="16" t="str">
        <f t="shared" si="75"/>
        <v/>
      </c>
      <c r="J597" s="76" t="str">
        <f t="shared" si="76"/>
        <v/>
      </c>
      <c r="K597" s="77" t="str">
        <f t="shared" si="77"/>
        <v/>
      </c>
      <c r="L597" s="78" t="str">
        <f t="shared" si="78"/>
        <v/>
      </c>
      <c r="M597" s="4"/>
      <c r="N597" s="79">
        <f>IF(OR($A597="",$B597=""),0,IF(COUNTIFS($A$5:$A597,$A597,$B$5:$B597,$B597)=1,1,0))</f>
        <v>0</v>
      </c>
      <c r="O597" s="79" t="str">
        <f t="shared" si="79"/>
        <v/>
      </c>
      <c r="P597" s="79" t="str">
        <f t="shared" si="80"/>
        <v/>
      </c>
      <c r="AL597" s="89" t="str">
        <f t="shared" ca="1" si="81"/>
        <v/>
      </c>
    </row>
    <row r="598" spans="1:38" x14ac:dyDescent="0.3">
      <c r="A598" s="70"/>
      <c r="B598" s="71"/>
      <c r="C598" s="71"/>
      <c r="D598" s="71"/>
      <c r="E598" s="72"/>
      <c r="F598" s="73"/>
      <c r="G598" s="74"/>
      <c r="H598" s="75" t="str">
        <f t="shared" si="74"/>
        <v/>
      </c>
      <c r="I598" s="16" t="str">
        <f t="shared" si="75"/>
        <v/>
      </c>
      <c r="J598" s="76" t="str">
        <f t="shared" si="76"/>
        <v/>
      </c>
      <c r="K598" s="77" t="str">
        <f t="shared" si="77"/>
        <v/>
      </c>
      <c r="L598" s="78" t="str">
        <f t="shared" si="78"/>
        <v/>
      </c>
      <c r="M598" s="4"/>
      <c r="N598" s="79">
        <f>IF(OR($A598="",$B598=""),0,IF(COUNTIFS($A$5:$A598,$A598,$B$5:$B598,$B598)=1,1,0))</f>
        <v>0</v>
      </c>
      <c r="O598" s="79" t="str">
        <f t="shared" si="79"/>
        <v/>
      </c>
      <c r="P598" s="79" t="str">
        <f t="shared" si="80"/>
        <v/>
      </c>
      <c r="AL598" s="89" t="str">
        <f t="shared" ca="1" si="81"/>
        <v/>
      </c>
    </row>
    <row r="599" spans="1:38" x14ac:dyDescent="0.3">
      <c r="A599" s="70"/>
      <c r="B599" s="71"/>
      <c r="C599" s="71"/>
      <c r="D599" s="71"/>
      <c r="E599" s="72"/>
      <c r="F599" s="73"/>
      <c r="G599" s="74"/>
      <c r="H599" s="75" t="str">
        <f t="shared" si="74"/>
        <v/>
      </c>
      <c r="I599" s="16" t="str">
        <f t="shared" si="75"/>
        <v/>
      </c>
      <c r="J599" s="76" t="str">
        <f t="shared" si="76"/>
        <v/>
      </c>
      <c r="K599" s="77" t="str">
        <f t="shared" si="77"/>
        <v/>
      </c>
      <c r="L599" s="78" t="str">
        <f t="shared" si="78"/>
        <v/>
      </c>
      <c r="M599" s="4"/>
      <c r="N599" s="79">
        <f>IF(OR($A599="",$B599=""),0,IF(COUNTIFS($A$5:$A599,$A599,$B$5:$B599,$B599)=1,1,0))</f>
        <v>0</v>
      </c>
      <c r="O599" s="79" t="str">
        <f t="shared" si="79"/>
        <v/>
      </c>
      <c r="P599" s="79" t="str">
        <f t="shared" si="80"/>
        <v/>
      </c>
      <c r="AL599" s="89" t="str">
        <f t="shared" ca="1" si="81"/>
        <v/>
      </c>
    </row>
    <row r="600" spans="1:38" x14ac:dyDescent="0.3">
      <c r="A600" s="70"/>
      <c r="B600" s="71"/>
      <c r="C600" s="71"/>
      <c r="D600" s="71"/>
      <c r="E600" s="72"/>
      <c r="F600" s="73"/>
      <c r="G600" s="74"/>
      <c r="H600" s="75" t="str">
        <f t="shared" si="74"/>
        <v/>
      </c>
      <c r="I600" s="16" t="str">
        <f t="shared" si="75"/>
        <v/>
      </c>
      <c r="J600" s="76" t="str">
        <f t="shared" si="76"/>
        <v/>
      </c>
      <c r="K600" s="77" t="str">
        <f t="shared" si="77"/>
        <v/>
      </c>
      <c r="L600" s="78" t="str">
        <f t="shared" si="78"/>
        <v/>
      </c>
      <c r="M600" s="4"/>
      <c r="N600" s="79">
        <f>IF(OR($A600="",$B600=""),0,IF(COUNTIFS($A$5:$A600,$A600,$B$5:$B600,$B600)=1,1,0))</f>
        <v>0</v>
      </c>
      <c r="O600" s="79" t="str">
        <f t="shared" si="79"/>
        <v/>
      </c>
      <c r="P600" s="79" t="str">
        <f t="shared" si="80"/>
        <v/>
      </c>
      <c r="AL600" s="89" t="str">
        <f t="shared" ca="1" si="81"/>
        <v/>
      </c>
    </row>
    <row r="601" spans="1:38" x14ac:dyDescent="0.3">
      <c r="A601" s="70"/>
      <c r="B601" s="71"/>
      <c r="C601" s="71"/>
      <c r="D601" s="71"/>
      <c r="E601" s="72"/>
      <c r="F601" s="73"/>
      <c r="G601" s="74"/>
      <c r="H601" s="75" t="str">
        <f t="shared" si="74"/>
        <v/>
      </c>
      <c r="I601" s="16" t="str">
        <f t="shared" si="75"/>
        <v/>
      </c>
      <c r="J601" s="76" t="str">
        <f t="shared" si="76"/>
        <v/>
      </c>
      <c r="K601" s="77" t="str">
        <f t="shared" si="77"/>
        <v/>
      </c>
      <c r="L601" s="78" t="str">
        <f t="shared" si="78"/>
        <v/>
      </c>
      <c r="M601" s="4"/>
      <c r="N601" s="79">
        <f>IF(OR($A601="",$B601=""),0,IF(COUNTIFS($A$5:$A601,$A601,$B$5:$B601,$B601)=1,1,0))</f>
        <v>0</v>
      </c>
      <c r="O601" s="79" t="str">
        <f t="shared" si="79"/>
        <v/>
      </c>
      <c r="P601" s="79" t="str">
        <f t="shared" si="80"/>
        <v/>
      </c>
      <c r="AL601" s="89" t="str">
        <f t="shared" ca="1" si="81"/>
        <v/>
      </c>
    </row>
    <row r="602" spans="1:38" x14ac:dyDescent="0.3">
      <c r="A602" s="70"/>
      <c r="B602" s="71"/>
      <c r="C602" s="71"/>
      <c r="D602" s="71"/>
      <c r="E602" s="72"/>
      <c r="F602" s="73"/>
      <c r="G602" s="74"/>
      <c r="H602" s="75" t="str">
        <f t="shared" si="74"/>
        <v/>
      </c>
      <c r="I602" s="16" t="str">
        <f t="shared" si="75"/>
        <v/>
      </c>
      <c r="J602" s="76" t="str">
        <f t="shared" si="76"/>
        <v/>
      </c>
      <c r="K602" s="77" t="str">
        <f t="shared" si="77"/>
        <v/>
      </c>
      <c r="L602" s="78" t="str">
        <f t="shared" si="78"/>
        <v/>
      </c>
      <c r="M602" s="4"/>
      <c r="N602" s="79">
        <f>IF(OR($A602="",$B602=""),0,IF(COUNTIFS($A$5:$A602,$A602,$B$5:$B602,$B602)=1,1,0))</f>
        <v>0</v>
      </c>
      <c r="O602" s="79" t="str">
        <f t="shared" si="79"/>
        <v/>
      </c>
      <c r="P602" s="79" t="str">
        <f t="shared" si="80"/>
        <v/>
      </c>
      <c r="AL602" s="89" t="str">
        <f t="shared" ca="1" si="81"/>
        <v/>
      </c>
    </row>
    <row r="603" spans="1:38" x14ac:dyDescent="0.3">
      <c r="A603" s="70"/>
      <c r="B603" s="71"/>
      <c r="C603" s="71"/>
      <c r="D603" s="71"/>
      <c r="E603" s="72"/>
      <c r="F603" s="73"/>
      <c r="G603" s="74"/>
      <c r="H603" s="75" t="str">
        <f t="shared" si="74"/>
        <v/>
      </c>
      <c r="I603" s="16" t="str">
        <f t="shared" si="75"/>
        <v/>
      </c>
      <c r="J603" s="76" t="str">
        <f t="shared" si="76"/>
        <v/>
      </c>
      <c r="K603" s="77" t="str">
        <f t="shared" si="77"/>
        <v/>
      </c>
      <c r="L603" s="78" t="str">
        <f t="shared" si="78"/>
        <v/>
      </c>
      <c r="M603" s="4"/>
      <c r="N603" s="79">
        <f>IF(OR($A603="",$B603=""),0,IF(COUNTIFS($A$5:$A603,$A603,$B$5:$B603,$B603)=1,1,0))</f>
        <v>0</v>
      </c>
      <c r="O603" s="79" t="str">
        <f t="shared" si="79"/>
        <v/>
      </c>
      <c r="P603" s="79" t="str">
        <f t="shared" si="80"/>
        <v/>
      </c>
      <c r="AL603" s="89" t="str">
        <f t="shared" ca="1" si="81"/>
        <v/>
      </c>
    </row>
    <row r="604" spans="1:38" x14ac:dyDescent="0.3">
      <c r="A604" s="99"/>
      <c r="B604" s="91"/>
      <c r="C604" s="91"/>
      <c r="D604" s="91"/>
      <c r="E604" s="100"/>
      <c r="F604" s="101"/>
      <c r="G604" s="102"/>
      <c r="H604" s="103" t="str">
        <f t="shared" si="74"/>
        <v/>
      </c>
      <c r="I604" s="104" t="str">
        <f t="shared" si="75"/>
        <v/>
      </c>
      <c r="J604" s="105" t="str">
        <f t="shared" si="76"/>
        <v/>
      </c>
      <c r="K604" s="106" t="str">
        <f t="shared" si="77"/>
        <v/>
      </c>
      <c r="L604" s="107" t="str">
        <f t="shared" si="78"/>
        <v/>
      </c>
      <c r="M604" s="4"/>
      <c r="N604" s="79">
        <f>IF(OR($A604="",$B604=""),0,IF(COUNTIFS($A$5:$A604,$A604,$B$5:$B604,$B604)=1,1,0))</f>
        <v>0</v>
      </c>
      <c r="O604" s="79" t="str">
        <f t="shared" si="79"/>
        <v/>
      </c>
      <c r="P604" s="79" t="str">
        <f t="shared" si="80"/>
        <v/>
      </c>
      <c r="AL604" s="89" t="str">
        <f t="shared" ca="1" si="81"/>
        <v/>
      </c>
    </row>
    <row r="605" spans="1:38" x14ac:dyDescent="0.3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</row>
  </sheetData>
  <sheetProtection algorithmName="SHA-512" hashValue="lJPbLqmYoypz/g0rXmu1e+cGPJbHxlKnlf8iA37flD5OsbBw636vxBGg2UvRvhcgH91kMNSL+s8A+aRBML06sA==" saltValue="yU16jn83s+Udoarx0l/UFg==" spinCount="100000" sheet="1" objects="1" selectLockedCells="1" sort="0" autoFilter="0"/>
  <autoFilter ref="A4:G604" xr:uid="{00000000-0009-0000-0000-000003000000}">
    <sortState ref="A5:G604">
      <sortCondition ref="A4:A604"/>
    </sortState>
  </autoFilter>
  <sortState ref="A46:D51">
    <sortCondition ref="D51"/>
  </sortState>
  <mergeCells count="6">
    <mergeCell ref="W3:AC3"/>
    <mergeCell ref="B2:C2"/>
    <mergeCell ref="A1:F1"/>
    <mergeCell ref="AG3:AJ3"/>
    <mergeCell ref="A3:F3"/>
    <mergeCell ref="D2:G2"/>
  </mergeCells>
  <conditionalFormatting sqref="A5:J604">
    <cfRule type="expression" dxfId="0" priority="1">
      <formula>$K5&lt;&gt;""</formula>
    </cfRule>
  </conditionalFormatting>
  <dataValidations count="4">
    <dataValidation type="list" allowBlank="1" showErrorMessage="1" errorTitle="Netinkama lyga" error="Galimos reikšmės: A, B arba C." sqref="A5:A604" xr:uid="{00000000-0002-0000-0300-000000000000}">
      <formula1>"A,B,C"</formula1>
    </dataValidation>
    <dataValidation type="list" allowBlank="1" sqref="B5:B604" xr:uid="{00000000-0002-0000-0300-000001000000}">
      <formula1>INDIRECT($AL5)</formula1>
    </dataValidation>
    <dataValidation type="list" allowBlank="1" showErrorMessage="1" errorTitle="Netinkamas pogrupis" error="Galimos reikšmės: Rytai, Vakarai arba „-“ (A lygai)." sqref="F5:F604" xr:uid="{00000000-0002-0000-0300-000002000000}">
      <formula1>"-,Rytai,Vakarai"</formula1>
    </dataValidation>
    <dataValidation type="whole" allowBlank="1" showErrorMessage="1" errorTitle="Netinkamas Hcp" error="Hcp turi būti sveikas skaičius nuo 0 iki 99." sqref="E5:E604" xr:uid="{00000000-0002-0000-0300-000003000000}">
      <formula1>0</formula1>
      <formula2>99</formula2>
    </dataValidation>
  </dataValidations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17</vt:i4>
      </vt:variant>
    </vt:vector>
  </HeadingPairs>
  <TitlesOfParts>
    <vt:vector size="21" baseType="lpstr">
      <vt:lpstr>Lentelė</vt:lpstr>
      <vt:lpstr>Protokolas</vt:lpstr>
      <vt:lpstr>Žaidimo schema</vt:lpstr>
      <vt:lpstr>ADMIN_Duomenys</vt:lpstr>
      <vt:lpstr>Etapas</vt:lpstr>
      <vt:lpstr>List1</vt:lpstr>
      <vt:lpstr>List2</vt:lpstr>
      <vt:lpstr>List3</vt:lpstr>
      <vt:lpstr>List4</vt:lpstr>
      <vt:lpstr>Lyga</vt:lpstr>
      <vt:lpstr>PogrupioReikia</vt:lpstr>
      <vt:lpstr>Pogrupis</vt:lpstr>
      <vt:lpstr>ADMIN_Duomenys!Print_Area</vt:lpstr>
      <vt:lpstr>Lentelė!Print_Area</vt:lpstr>
      <vt:lpstr>Protokolas!Print_Area</vt:lpstr>
      <vt:lpstr>'Žaidimo schema'!Print_Area</vt:lpstr>
      <vt:lpstr>ProtokolasUzpildytas</vt:lpstr>
      <vt:lpstr>Sezonas</vt:lpstr>
      <vt:lpstr>Zaidejai_Hcp</vt:lpstr>
      <vt:lpstr>Zaidejai_Raktas</vt:lpstr>
      <vt:lpstr>Zaidejai_Vardas</vt:lpstr>
    </vt:vector>
  </TitlesOfParts>
  <Manager>klaudidze</Manager>
  <Company>Lietuvos Boulingo Federacija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LBL universali varžybų forma</dc:title>
  <dc:subject>Lietuvos boulingo lyga – varžybų protokolas ir rezultatai</dc:subject>
  <dc:creator>klaudidze</dc:creator>
  <cp:keywords>LBL, LBF, boulingas, protokolas, klaudidze</cp:keywords>
  <dc:description>Universali LBL komandinių varžybų forma A, B ir C lygoms. Be VBA – tik Excel formulės. Autorius: klaudidze.</dc:description>
  <cp:lastModifiedBy>Dalia Dragunaite</cp:lastModifiedBy>
  <dcterms:created xsi:type="dcterms:W3CDTF">2026-09-26T15:50:20Z</dcterms:created>
  <dcterms:modified xsi:type="dcterms:W3CDTF">2026-09-28T14:14:59Z</dcterms:modified>
  <cp:category>LBL / LBF</cp:category>
</cp:coreProperties>
</file>